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ingov\OneDrive\Dokumente\03 VIGNERON PROTECTION\15 PRODUKTE\Preiskalkulation Sicherheitsdienste\"/>
    </mc:Choice>
  </mc:AlternateContent>
  <xr:revisionPtr revIDLastSave="0" documentId="13_ncr:1_{5EC35973-7DF1-4F86-9E50-E47584044D78}" xr6:coauthVersionLast="47" xr6:coauthVersionMax="47" xr10:uidLastSave="{00000000-0000-0000-0000-000000000000}"/>
  <workbookProtection workbookAlgorithmName="SHA-512" workbookHashValue="QHzqibhXwrcvdQ+kzD5ONqBrVZQz0pExS+qT/QQcrwBWvXQsU9Dg2uge6vhWOc4eWbaic5qA9+SZsZlHxXfp3g==" workbookSaltValue="XrKMGsaHkgNeC3zhHI5nyA==" workbookSpinCount="100000" lockStructure="1"/>
  <bookViews>
    <workbookView xWindow="-120" yWindow="-120" windowWidth="29040" windowHeight="15720" xr2:uid="{67E4CA61-96F1-4014-A872-603C574EEA14}"/>
  </bookViews>
  <sheets>
    <sheet name="Vorgaben" sheetId="1" r:id="rId1"/>
    <sheet name="Berechnung" sheetId="6" r:id="rId2"/>
    <sheet name="Datenquelle" sheetId="5" r:id="rId3"/>
  </sheets>
  <definedNames>
    <definedName name="_xlnm._FilterDatabase" localSheetId="0" hidden="1">Vorgaben!$B$5:$D$22</definedName>
    <definedName name="_xlnm.Print_Area" localSheetId="1">Berechnung!$B$1:$G$42</definedName>
    <definedName name="_xlnm.Print_Area" localSheetId="2">Datenquelle!$B$1:$E$19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 i="6" l="1"/>
  <c r="I13" i="6"/>
  <c r="I12" i="6"/>
  <c r="I11" i="6"/>
  <c r="H11" i="6"/>
  <c r="B23" i="6"/>
  <c r="B22" i="6"/>
  <c r="B9" i="6"/>
  <c r="D40" i="1"/>
  <c r="C8" i="1" l="1"/>
  <c r="D49" i="6"/>
  <c r="D37" i="6"/>
  <c r="B52" i="6"/>
  <c r="B51" i="6"/>
  <c r="B42" i="6"/>
  <c r="B41" i="6"/>
  <c r="B19" i="6"/>
  <c r="B18" i="6"/>
  <c r="C48" i="1"/>
  <c r="C45" i="1"/>
  <c r="C44" i="1"/>
  <c r="C43" i="1"/>
  <c r="C47" i="1"/>
  <c r="B31" i="6"/>
  <c r="B29" i="6"/>
  <c r="B25" i="6"/>
  <c r="D50" i="6" l="1"/>
  <c r="G3" i="6"/>
  <c r="G37" i="6" s="1"/>
  <c r="F3" i="6"/>
  <c r="F37" i="6" s="1"/>
  <c r="E3" i="6"/>
  <c r="E37" i="6" s="1"/>
  <c r="B34" i="6"/>
  <c r="B33" i="6"/>
  <c r="B27" i="6"/>
  <c r="B10" i="6"/>
  <c r="B24" i="6"/>
  <c r="B21" i="6"/>
  <c r="B20" i="6"/>
  <c r="B17" i="6"/>
  <c r="B16" i="6"/>
  <c r="B15" i="6"/>
  <c r="B14" i="6"/>
  <c r="B8" i="6"/>
  <c r="B7" i="6"/>
  <c r="B6" i="6"/>
  <c r="B5" i="6"/>
  <c r="F20" i="5"/>
  <c r="M11" i="5"/>
  <c r="M4" i="5" l="1"/>
  <c r="F16" i="5"/>
  <c r="F12" i="5"/>
  <c r="F9" i="5"/>
  <c r="F7" i="5"/>
  <c r="F5" i="5"/>
  <c r="B11" i="1"/>
  <c r="B10" i="1"/>
  <c r="B9" i="1"/>
  <c r="M18" i="5"/>
  <c r="M17" i="5"/>
  <c r="F29" i="5"/>
  <c r="B13" i="6" s="1"/>
  <c r="F35" i="5"/>
  <c r="B12" i="6" s="1"/>
  <c r="F33" i="5"/>
  <c r="B11" i="6" s="1"/>
  <c r="F21" i="5"/>
  <c r="C51" i="6" l="1"/>
  <c r="C41" i="6"/>
  <c r="D51" i="6"/>
  <c r="D52" i="6" s="1"/>
  <c r="F30" i="5"/>
  <c r="M19" i="5"/>
  <c r="C29" i="1" s="1"/>
  <c r="M20" i="5"/>
  <c r="C31" i="1" s="1"/>
  <c r="F36" i="5"/>
  <c r="F34" i="5"/>
  <c r="B3" i="6"/>
  <c r="M29" i="5"/>
  <c r="O29" i="5" s="1"/>
  <c r="M25" i="5"/>
  <c r="O25" i="5" s="1"/>
  <c r="O26" i="5" s="1"/>
  <c r="F39" i="5"/>
  <c r="F25" i="5"/>
  <c r="M32" i="5"/>
  <c r="M35" i="5"/>
  <c r="I31" i="6" s="1"/>
  <c r="H16" i="5"/>
  <c r="H17" i="5" s="1"/>
  <c r="H12" i="5"/>
  <c r="H13" i="5" s="1"/>
  <c r="B30" i="6"/>
  <c r="H8" i="5"/>
  <c r="H9" i="5" s="1"/>
  <c r="H6" i="5"/>
  <c r="H7" i="5" s="1"/>
  <c r="O4" i="5"/>
  <c r="O5" i="5" s="1"/>
  <c r="B32" i="6"/>
  <c r="B28" i="6"/>
  <c r="B26" i="6"/>
  <c r="H13" i="6" l="1"/>
  <c r="C37" i="1"/>
  <c r="C33" i="1"/>
  <c r="H12" i="6"/>
  <c r="C35" i="1"/>
  <c r="M21" i="5"/>
  <c r="C30" i="1" s="1"/>
  <c r="M22" i="5"/>
  <c r="H10" i="6"/>
  <c r="G4" i="6"/>
  <c r="F4" i="6"/>
  <c r="F5" i="6" s="1"/>
  <c r="D4" i="6"/>
  <c r="E4" i="6"/>
  <c r="E5" i="6" s="1"/>
  <c r="H25" i="5"/>
  <c r="H26" i="5" s="1"/>
  <c r="H39" i="5"/>
  <c r="H40" i="5" s="1"/>
  <c r="O35" i="5"/>
  <c r="I30" i="6"/>
  <c r="I32" i="6" s="1"/>
  <c r="H28" i="6"/>
  <c r="H29" i="6"/>
  <c r="O32" i="5"/>
  <c r="G8" i="6" l="1"/>
  <c r="F8" i="6"/>
  <c r="D8" i="6"/>
  <c r="E8" i="6"/>
  <c r="C38" i="1"/>
  <c r="C16" i="1"/>
  <c r="G7" i="6"/>
  <c r="G6" i="6"/>
  <c r="F6" i="6"/>
  <c r="F7" i="6"/>
  <c r="D6" i="6"/>
  <c r="D7" i="6"/>
  <c r="E7" i="6"/>
  <c r="E6" i="6"/>
  <c r="F22" i="5"/>
  <c r="M14" i="5"/>
  <c r="H14" i="6"/>
  <c r="D21" i="6" s="1"/>
  <c r="H30" i="6"/>
  <c r="D23" i="6" l="1"/>
  <c r="D22" i="6"/>
  <c r="G9" i="6"/>
  <c r="D9" i="6"/>
  <c r="D10" i="6" s="1"/>
  <c r="E9" i="6"/>
  <c r="E10" i="6" s="1"/>
  <c r="F9" i="6"/>
  <c r="F10" i="6" s="1"/>
  <c r="G17" i="6"/>
  <c r="D17" i="6"/>
  <c r="E17" i="6"/>
  <c r="F21" i="6"/>
  <c r="F17" i="6"/>
  <c r="E21" i="6"/>
  <c r="G21" i="6"/>
  <c r="G19" i="6" l="1"/>
  <c r="G18" i="6"/>
  <c r="D18" i="6"/>
  <c r="D19" i="6"/>
  <c r="E18" i="6"/>
  <c r="E19" i="6"/>
  <c r="F22" i="6"/>
  <c r="F23" i="6"/>
  <c r="F18" i="6"/>
  <c r="F19" i="6"/>
  <c r="E22" i="6"/>
  <c r="E23" i="6"/>
  <c r="G22" i="6"/>
  <c r="G23" i="6"/>
  <c r="D11" i="6"/>
  <c r="D13" i="6"/>
  <c r="D12" i="6"/>
  <c r="E12" i="6"/>
  <c r="E13" i="6"/>
  <c r="E11" i="6"/>
  <c r="F13" i="6"/>
  <c r="F11" i="6"/>
  <c r="F12" i="6"/>
  <c r="E14" i="6" l="1"/>
  <c r="E15" i="6" s="1"/>
  <c r="E16" i="6" s="1"/>
  <c r="E20" i="6" s="1"/>
  <c r="E24" i="6" s="1"/>
  <c r="D14" i="6"/>
  <c r="F14" i="6"/>
  <c r="E25" i="6" l="1"/>
  <c r="E26" i="6" s="1"/>
  <c r="E27" i="6" s="1"/>
  <c r="E28" i="6" s="1"/>
  <c r="E29" i="6" s="1"/>
  <c r="E30" i="6" s="1"/>
  <c r="D15" i="6"/>
  <c r="D16" i="6" s="1"/>
  <c r="D20" i="6" s="1"/>
  <c r="D24" i="6" s="1"/>
  <c r="F15" i="6"/>
  <c r="F16" i="6" s="1"/>
  <c r="F20" i="6" s="1"/>
  <c r="F24" i="6" s="1"/>
  <c r="D54" i="6" l="1"/>
  <c r="E31" i="6"/>
  <c r="E32" i="6" s="1"/>
  <c r="D25" i="6"/>
  <c r="D26" i="6" s="1"/>
  <c r="D55" i="6" s="1"/>
  <c r="F25" i="6"/>
  <c r="F26" i="6" s="1"/>
  <c r="F27" i="6" s="1"/>
  <c r="F28" i="6" s="1"/>
  <c r="F29" i="6" s="1"/>
  <c r="F30" i="6" s="1"/>
  <c r="E38" i="6" l="1"/>
  <c r="E39" i="6"/>
  <c r="E40" i="6" s="1"/>
  <c r="E33" i="6"/>
  <c r="E34" i="6" s="1"/>
  <c r="F31" i="6"/>
  <c r="F32" i="6" s="1"/>
  <c r="D27" i="6"/>
  <c r="D28" i="6" s="1"/>
  <c r="D29" i="6" s="1"/>
  <c r="D30" i="6" s="1"/>
  <c r="E45" i="6" l="1"/>
  <c r="E44" i="6"/>
  <c r="E41" i="6"/>
  <c r="E42" i="6" s="1"/>
  <c r="F39" i="6"/>
  <c r="F40" i="6" s="1"/>
  <c r="F38" i="6"/>
  <c r="F33" i="6"/>
  <c r="F34" i="6" s="1"/>
  <c r="D31" i="6"/>
  <c r="D32" i="6" s="1"/>
  <c r="F44" i="6" l="1"/>
  <c r="F45" i="6"/>
  <c r="F41" i="6"/>
  <c r="F42" i="6" s="1"/>
  <c r="D39" i="6"/>
  <c r="C38" i="6"/>
  <c r="D33" i="6"/>
  <c r="D34" i="6" s="1"/>
  <c r="D40" i="6" l="1"/>
  <c r="F48" i="6"/>
  <c r="F49" i="6" s="1"/>
  <c r="F50" i="6" s="1"/>
  <c r="E48" i="6"/>
  <c r="D45" i="6" l="1"/>
  <c r="D44" i="6"/>
  <c r="D41" i="6"/>
  <c r="D42" i="6" s="1"/>
  <c r="F51" i="6"/>
  <c r="F52" i="6" s="1"/>
  <c r="F54" i="6"/>
  <c r="F55" i="6"/>
  <c r="E49" i="6"/>
  <c r="H4" i="5"/>
  <c r="H5" i="5" l="1"/>
  <c r="G5" i="6"/>
  <c r="G10" i="6" s="1"/>
  <c r="E50" i="6"/>
  <c r="E55" i="6" l="1"/>
  <c r="E54" i="6"/>
  <c r="E51" i="6"/>
  <c r="E52" i="6" s="1"/>
  <c r="G13" i="6"/>
  <c r="G12" i="6"/>
  <c r="G11" i="6"/>
  <c r="G14" i="6" l="1"/>
  <c r="G15" i="6" l="1"/>
  <c r="G16" i="6" s="1"/>
  <c r="G20" i="6" s="1"/>
  <c r="G24" i="6" s="1"/>
  <c r="G25" i="6" l="1"/>
  <c r="G26" i="6" s="1"/>
  <c r="G27" i="6" s="1"/>
  <c r="G28" i="6" s="1"/>
  <c r="G29" i="6" s="1"/>
  <c r="G30" i="6" s="1"/>
  <c r="G31" i="6" l="1"/>
  <c r="G32" i="6" s="1"/>
  <c r="G38" i="6" l="1"/>
  <c r="G48" i="6" s="1"/>
  <c r="G39" i="6"/>
  <c r="G33" i="6"/>
  <c r="G34" i="6" s="1"/>
  <c r="H48" i="6" l="1"/>
  <c r="G49" i="6"/>
  <c r="H39" i="6"/>
  <c r="G40" i="6"/>
  <c r="H49" i="6" l="1"/>
  <c r="G50" i="6"/>
  <c r="H40" i="6"/>
  <c r="G45" i="6"/>
  <c r="G44" i="6"/>
  <c r="G41" i="6"/>
  <c r="G42" i="6" s="1"/>
  <c r="M13" i="5"/>
  <c r="C50" i="1" s="1"/>
  <c r="M12" i="5"/>
  <c r="C49" i="1" s="1"/>
  <c r="H50" i="6" l="1"/>
  <c r="G55" i="6"/>
  <c r="G54" i="6"/>
  <c r="G51" i="6"/>
  <c r="G5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Ingo Vigneron</author>
  </authors>
  <commentList>
    <comment ref="C8" authorId="0" shapeId="0" xr:uid="{43158F9E-B010-404C-9A08-662475BECB9B}">
      <text>
        <r>
          <rPr>
            <sz val="9"/>
            <color indexed="81"/>
            <rFont val="Segoe UI"/>
            <family val="2"/>
          </rPr>
          <t>Zum ändern, oben die Tätigkeit auswählen.</t>
        </r>
      </text>
    </comment>
    <comment ref="B32" authorId="0" shapeId="0" xr:uid="{232F53E1-7EAB-48BF-8006-71DBD556BC56}">
      <text>
        <r>
          <rPr>
            <sz val="9"/>
            <color indexed="81"/>
            <rFont val="Segoe UI"/>
            <family val="2"/>
          </rPr>
          <t>Nicht produktive Arbeitszeit!</t>
        </r>
      </text>
    </comment>
    <comment ref="B34" authorId="0" shapeId="0" xr:uid="{2488E058-85A3-4C47-8CFC-133C268DD0A0}">
      <text>
        <r>
          <rPr>
            <sz val="9"/>
            <color indexed="81"/>
            <rFont val="Segoe UI"/>
            <family val="2"/>
          </rPr>
          <t>Nicht produktive Arbeitszeit!</t>
        </r>
      </text>
    </comment>
    <comment ref="B36" authorId="0" shapeId="0" xr:uid="{29F49CFB-5047-4012-96B3-DD42F38E8039}">
      <text>
        <r>
          <rPr>
            <sz val="9"/>
            <color indexed="81"/>
            <rFont val="Segoe UI"/>
            <family val="2"/>
          </rPr>
          <t>Nicht produktive Arbeitszeit!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Ingo Vigneron</author>
  </authors>
  <commentList>
    <comment ref="D14" authorId="0" shapeId="0" xr:uid="{34F1A80E-278B-429B-8130-0E26E443A986}">
      <text>
        <r>
          <rPr>
            <b/>
            <sz val="9"/>
            <color indexed="81"/>
            <rFont val="Segoe UI"/>
            <charset val="1"/>
          </rPr>
          <t xml:space="preserve">
  Lohnkosten  x  Bezahklte Stunden  /  Produktivstunden
</t>
        </r>
      </text>
    </comment>
  </commentList>
</comments>
</file>

<file path=xl/sharedStrings.xml><?xml version="1.0" encoding="utf-8"?>
<sst xmlns="http://schemas.openxmlformats.org/spreadsheetml/2006/main" count="245" uniqueCount="152">
  <si>
    <t>Krankenquote:</t>
  </si>
  <si>
    <t>Skonto:</t>
  </si>
  <si>
    <t>Kundenrabatt:</t>
  </si>
  <si>
    <t>=</t>
  </si>
  <si>
    <t>Ertrag/Gewinn</t>
  </si>
  <si>
    <t>Umsatzsteuer</t>
  </si>
  <si>
    <t>Tätigkeit / Qualifikation</t>
  </si>
  <si>
    <t>/Std</t>
  </si>
  <si>
    <t>(Höhe der Zulage)</t>
  </si>
  <si>
    <t>(Höhe der AGA Pauschale)</t>
  </si>
  <si>
    <t>Faktor 1:   x</t>
  </si>
  <si>
    <t>HKZ (Handlungskostenzuschlag)</t>
  </si>
  <si>
    <t>Gewinn</t>
  </si>
  <si>
    <t>(Höhe der HKZ)</t>
  </si>
  <si>
    <t>Faktor 2:   x</t>
  </si>
  <si>
    <t>Faktor:   x</t>
  </si>
  <si>
    <t>Rabatt (ACHTUNG: Im Hundert rechnen)</t>
  </si>
  <si>
    <t>Skonto (ACHTUNG: Im Hundert rechnen und Skonto immer zuerst)</t>
  </si>
  <si>
    <t>Umsatzsteuer (Ust.)</t>
  </si>
  <si>
    <t>(Höhe der USt)</t>
  </si>
  <si>
    <t>(Höhe des Brutto-Preises)</t>
  </si>
  <si>
    <t>BG Beitrag auf Bruttolohn</t>
  </si>
  <si>
    <t>AGA Pauschale auf Bruttolohn</t>
  </si>
  <si>
    <t>Feiertage</t>
  </si>
  <si>
    <t>Krankenquote</t>
  </si>
  <si>
    <t>Jahresangaben</t>
  </si>
  <si>
    <t>Tage/Jahr</t>
  </si>
  <si>
    <t>Wochen/Jahr</t>
  </si>
  <si>
    <t>Monate/Jahr</t>
  </si>
  <si>
    <t>Arbeitstage (Mo.-Fr.)/Jahr</t>
  </si>
  <si>
    <t>Arbeitstage (Mo.-Sa.)/Jahr</t>
  </si>
  <si>
    <t>Tag</t>
  </si>
  <si>
    <t>Arbeitszeiten</t>
  </si>
  <si>
    <t>Stunden/Woche (Vollzeitstelle)</t>
  </si>
  <si>
    <t>Urlaubsgeld</t>
  </si>
  <si>
    <t>Weihnachtsgeld</t>
  </si>
  <si>
    <t>Gefahrenzulage</t>
  </si>
  <si>
    <t>Anmerkungen/Hilfsrechnungen</t>
  </si>
  <si>
    <t>Arbeitswochen/Jahr (ohne Urlaub)</t>
  </si>
  <si>
    <t>Produktivstunden/Jahr (Vollzeitstelle-Urlaub)</t>
  </si>
  <si>
    <t>Bezahlte Arbeitsstunden/Jahr</t>
  </si>
  <si>
    <t>Produktivstunden/Jahr</t>
  </si>
  <si>
    <t>Brutto-Stundenlohn</t>
  </si>
  <si>
    <t>Rabattierter Preis (netto)</t>
  </si>
  <si>
    <t>Skontierter Preis (netto)</t>
  </si>
  <si>
    <t>Angebot</t>
  </si>
  <si>
    <t>PUG 1</t>
  </si>
  <si>
    <t>PUG 2</t>
  </si>
  <si>
    <t>Arbeitskammer (Saarland)</t>
  </si>
  <si>
    <t>Monatlicher Höchstbeitrag pro Mitarbeiter</t>
  </si>
  <si>
    <t>Jährlicher Höchstbeitrag pro Mitarbeiter</t>
  </si>
  <si>
    <t>Bezahlte Stunden/Jahr (Vollzeitstelle)</t>
  </si>
  <si>
    <t>Höchstbeitrag/Mitarbeiterstunde</t>
  </si>
  <si>
    <t>Brutto Grundlohn</t>
  </si>
  <si>
    <t>/ Stunde</t>
  </si>
  <si>
    <t>Stunden/Tag (Vollzeitstelle)</t>
  </si>
  <si>
    <t>Tage/Woche (Vollzeitstelle)</t>
  </si>
  <si>
    <t>Bezahlte Urlaubstage im Jahr</t>
  </si>
  <si>
    <t>Bezahlte Urlaubsstunden im Jahr</t>
  </si>
  <si>
    <t>Bezahlte Tage Sonderurlaub im Jahr</t>
  </si>
  <si>
    <t>Tarifliche Lohnzuagen (immer nur die höchste Zulage)</t>
  </si>
  <si>
    <t>Sonntage</t>
  </si>
  <si>
    <t>Nachtarbeit</t>
  </si>
  <si>
    <t>Bezahte Stunden/Monat</t>
  </si>
  <si>
    <t>Bezahlte Fortbildungszeiten</t>
  </si>
  <si>
    <t>Bezahlte Fortbildungstage im Jahr</t>
  </si>
  <si>
    <t>Bezahlte Fortbildungsstunden im Jahr</t>
  </si>
  <si>
    <t>Bezahlte Urlaubszeiten</t>
  </si>
  <si>
    <t>Bezahlte Stunden Sonderurlaub im Jahr</t>
  </si>
  <si>
    <t>Jahresurlaub</t>
  </si>
  <si>
    <t>Sonderurlaub</t>
  </si>
  <si>
    <t>Fortbildungen</t>
  </si>
  <si>
    <t>Angaben zum Lohn</t>
  </si>
  <si>
    <t>Arbeitsstunden/Tag</t>
  </si>
  <si>
    <t>Arbeitstage/Woche</t>
  </si>
  <si>
    <t>Angaben zu betrieblichen Kennzahlen</t>
  </si>
  <si>
    <t>Tätigkeit</t>
  </si>
  <si>
    <t>Vom  Brutto-Stundenlohn</t>
  </si>
  <si>
    <t>Grundlohn</t>
  </si>
  <si>
    <t>Tarif:</t>
  </si>
  <si>
    <t>SMA 15,00/Std.</t>
  </si>
  <si>
    <t>SMA 16,00/Std.</t>
  </si>
  <si>
    <t>SMA 17,00/Std.</t>
  </si>
  <si>
    <t>SMA 23,00/Std.</t>
  </si>
  <si>
    <t>SMA 24,00/Std.</t>
  </si>
  <si>
    <t>SMA 25,00/Std.</t>
  </si>
  <si>
    <t>SMA 26,00/Std.</t>
  </si>
  <si>
    <t>SMA 27,00/Std.</t>
  </si>
  <si>
    <t>SMA 28,00/Std.</t>
  </si>
  <si>
    <t>SMA 18,00/Std.</t>
  </si>
  <si>
    <t>SMA 19,00/Std.</t>
  </si>
  <si>
    <t>SMA 20,00/Std.</t>
  </si>
  <si>
    <t>SMA 21,00/Std.</t>
  </si>
  <si>
    <t>SMA 22,00/Std.</t>
  </si>
  <si>
    <t>AGA Pauschale %</t>
  </si>
  <si>
    <t>BG Beitrag %</t>
  </si>
  <si>
    <t>Arbeitsstunden/Woche</t>
  </si>
  <si>
    <t>Stunden/Tag</t>
  </si>
  <si>
    <t>Tage/Woche</t>
  </si>
  <si>
    <t>Weitere Rechengrundlagen</t>
  </si>
  <si>
    <t>Tage im Jahr</t>
  </si>
  <si>
    <t>Wochen im Jahr</t>
  </si>
  <si>
    <t>Monate im Jahr</t>
  </si>
  <si>
    <t>Stunden/Jahr</t>
  </si>
  <si>
    <t>Sonntage im Jahr</t>
  </si>
  <si>
    <t>Samstage im Jahr</t>
  </si>
  <si>
    <t>Werktage (Mo.-Fr.) im Jahr</t>
  </si>
  <si>
    <t>Feirtage (nach Bundesland)</t>
  </si>
  <si>
    <t>Feiertage/Jahr</t>
  </si>
  <si>
    <t>Werktage (Mo.-Sa.) im Jahr</t>
  </si>
  <si>
    <t>(Höhe des Lohns)</t>
  </si>
  <si>
    <t>(Höhe der Selbstkosten)</t>
  </si>
  <si>
    <t>(Höhe des Gewinns)</t>
  </si>
  <si>
    <t>(Höhe des Skontos)</t>
  </si>
  <si>
    <t>(Höhe des Rabatts)</t>
  </si>
  <si>
    <t>Aus Kundensicht (im Hundert)</t>
  </si>
  <si>
    <t>| Preisuntergrenze 2 (Aktionspreis)</t>
  </si>
  <si>
    <t>| Preisuntergrenze 1 (Kurzzeitiger Kampfpreis)</t>
  </si>
  <si>
    <t>Alternatives Angebot</t>
  </si>
  <si>
    <t>Bruttolohn</t>
  </si>
  <si>
    <t>Diese Auswahl kann unten in der Datenquelle angepasst werden.</t>
  </si>
  <si>
    <t>Vorgaben für die Vollkostenrechnung Mitarbeiterstunden</t>
  </si>
  <si>
    <t>Vollkostenrechnung Mitarbeiterstunden</t>
  </si>
  <si>
    <t>Gemeinkostenzuschlag:</t>
  </si>
  <si>
    <t>Datenquelle für Berechnungen</t>
  </si>
  <si>
    <t xml:space="preserve">Diese Vollkostenrechnung soll lediglich eine Idee zur Preisbildung vermitteln, auch wenn Sie später eine Deckungsbeitragsrechnung nutzen.
Recherchieren Sie zunächst die für Sie richtigen Vorgaben und tragen Sie diese in die blauen Felder ein. Diese werden automatisch in die Berechnung übernommen.
Wir übernehmen keine Gewährleistung für die Richtigkeit der Berechnungen oder unserer Muster-Vorgaben.
</t>
  </si>
  <si>
    <t>Deckungsbeitrag</t>
  </si>
  <si>
    <t>PUG-1 Grenze (Personalkosten)</t>
  </si>
  <si>
    <t>PUG-2 Grenze (Selbstkosten)</t>
  </si>
  <si>
    <t>Angaben zu einer einer typischen Vollzeitstelle (als Referenzwert)</t>
  </si>
  <si>
    <t>Bezahlte Stunden/Jahr</t>
  </si>
  <si>
    <t>Stunden/Jahr (alle bezahlte Stunden einer typischen Vollzeitkraft)</t>
  </si>
  <si>
    <t>Stunden/Jahr (tatsächliche Arbeitsstunden einer typischen Vollzeitkraft)</t>
  </si>
  <si>
    <t>Arbeitskammer des Saarlandes</t>
  </si>
  <si>
    <t>Angebotspreis (netto)</t>
  </si>
  <si>
    <t>Arbeitsstunden/Monat</t>
  </si>
  <si>
    <t>Stunden/Monat | 173 normal</t>
  </si>
  <si>
    <t>Stunden/Woche | 40 normal</t>
  </si>
  <si>
    <t>Tarifliches Weihnachtsgeld</t>
  </si>
  <si>
    <t>/ Jahr</t>
  </si>
  <si>
    <t>Stand:</t>
  </si>
  <si>
    <t>Vom Brutto-Stundenlohn</t>
  </si>
  <si>
    <t>Urlaubsgeld / Produktivstunden</t>
  </si>
  <si>
    <t>Weihnachtsgeld / Produktivstunden</t>
  </si>
  <si>
    <t>Höchstbeitrag / Produktivstunden</t>
  </si>
  <si>
    <t>von Brutto Grundlohn</t>
  </si>
  <si>
    <t>Maximaler monatlicher Beitrag je Mitarbeiter (gilt nur für das Saarland)</t>
  </si>
  <si>
    <t>Maximaler Beitrag / Produktivstunde</t>
  </si>
  <si>
    <t>von Brutto Grundlohn (optional)</t>
  </si>
  <si>
    <t>im Durchschnitt (alle Mitarbeiter)</t>
  </si>
  <si>
    <t>Anteilige Kosten, die nicht direkt einem Auftrag/Projekt zugeordnet werden können</t>
  </si>
  <si>
    <t>Angestrebter Ertrag/Gewinn (Berechnung auf Hundert der Selbstkosten)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</si>
</sst>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28">
    <font>
      <sz val="11"/>
      <color theme="1"/>
      <name val="Aptos Narrow"/>
      <family val="2"/>
      <scheme val="minor"/>
    </font>
    <font>
      <sz val="11"/>
      <color theme="1"/>
      <name val="Aptos Narrow"/>
      <family val="2"/>
      <scheme val="minor"/>
    </font>
    <font>
      <b/>
      <sz val="11"/>
      <color theme="1"/>
      <name val="Aptos Narrow"/>
      <family val="2"/>
      <scheme val="minor"/>
    </font>
    <font>
      <sz val="16"/>
      <color theme="1"/>
      <name val="Aptos Narrow"/>
      <family val="2"/>
      <scheme val="minor"/>
    </font>
    <font>
      <sz val="16"/>
      <color rgb="FF0070C0"/>
      <name val="Aptos Narrow"/>
      <family val="2"/>
      <scheme val="minor"/>
    </font>
    <font>
      <b/>
      <sz val="20"/>
      <color theme="1"/>
      <name val="Aptos Narrow"/>
      <family val="2"/>
      <scheme val="minor"/>
    </font>
    <font>
      <sz val="20"/>
      <color theme="1"/>
      <name val="Aptos Narrow"/>
      <family val="2"/>
      <scheme val="minor"/>
    </font>
    <font>
      <b/>
      <sz val="16"/>
      <color rgb="FF0070C0"/>
      <name val="Aptos Narrow"/>
      <family val="2"/>
      <scheme val="minor"/>
    </font>
    <font>
      <sz val="16"/>
      <color rgb="FF262626"/>
      <name val="Aptos Narrow"/>
      <family val="2"/>
      <scheme val="minor"/>
    </font>
    <font>
      <sz val="16"/>
      <name val="Aptos Narrow"/>
      <family val="2"/>
      <scheme val="minor"/>
    </font>
    <font>
      <b/>
      <sz val="20"/>
      <color theme="1"/>
      <name val="Aptos Narrow"/>
      <family val="2"/>
      <scheme val="minor"/>
    </font>
    <font>
      <b/>
      <sz val="24"/>
      <color theme="1"/>
      <name val="Aptos Narrow"/>
      <family val="2"/>
      <scheme val="minor"/>
    </font>
    <font>
      <sz val="24"/>
      <color theme="1"/>
      <name val="Aptos Narrow"/>
      <family val="2"/>
      <scheme val="minor"/>
    </font>
    <font>
      <u/>
      <sz val="16"/>
      <color theme="1"/>
      <name val="Aptos Narrow"/>
      <family val="2"/>
      <scheme val="minor"/>
    </font>
    <font>
      <b/>
      <sz val="16"/>
      <color rgb="FF262626"/>
      <name val="Aptos Narrow"/>
      <family val="2"/>
      <scheme val="minor"/>
    </font>
    <font>
      <b/>
      <sz val="16"/>
      <name val="Aptos Narrow"/>
      <family val="2"/>
      <scheme val="minor"/>
    </font>
    <font>
      <b/>
      <sz val="20"/>
      <color theme="1"/>
      <name val="Aptos Narrow"/>
      <scheme val="minor"/>
    </font>
    <font>
      <sz val="16"/>
      <color theme="1"/>
      <name val="Aptos Narrow"/>
      <scheme val="minor"/>
    </font>
    <font>
      <sz val="20"/>
      <color theme="1"/>
      <name val="Aptos Narrow"/>
      <scheme val="minor"/>
    </font>
    <font>
      <b/>
      <sz val="11"/>
      <color theme="1"/>
      <name val="Aptos Narrow"/>
      <scheme val="minor"/>
    </font>
    <font>
      <sz val="11"/>
      <color rgb="FF262626"/>
      <name val="Aptos Narrow"/>
      <family val="2"/>
      <scheme val="minor"/>
    </font>
    <font>
      <sz val="9"/>
      <color indexed="81"/>
      <name val="Segoe UI"/>
      <family val="2"/>
    </font>
    <font>
      <sz val="11"/>
      <color theme="1"/>
      <name val="Aptos Narrow"/>
      <scheme val="minor"/>
    </font>
    <font>
      <sz val="16"/>
      <color rgb="FFFF0000"/>
      <name val="Aptos Narrow"/>
      <family val="2"/>
      <scheme val="minor"/>
    </font>
    <font>
      <b/>
      <sz val="16"/>
      <color rgb="FFFF0000"/>
      <name val="Aptos Narrow"/>
      <family val="2"/>
      <scheme val="minor"/>
    </font>
    <font>
      <b/>
      <sz val="20"/>
      <name val="Aptos Narrow"/>
      <family val="2"/>
      <scheme val="minor"/>
    </font>
    <font>
      <b/>
      <sz val="16"/>
      <color theme="1"/>
      <name val="Aptos Narrow"/>
      <family val="2"/>
      <scheme val="minor"/>
    </font>
    <font>
      <b/>
      <sz val="9"/>
      <color indexed="81"/>
      <name val="Segoe UI"/>
      <charset val="1"/>
    </font>
  </fonts>
  <fills count="6">
    <fill>
      <patternFill patternType="none"/>
    </fill>
    <fill>
      <patternFill patternType="gray125"/>
    </fill>
    <fill>
      <patternFill patternType="solid">
        <fgColor theme="3" tint="0.89999084444715716"/>
        <bgColor indexed="64"/>
      </patternFill>
    </fill>
    <fill>
      <patternFill patternType="solid">
        <fgColor theme="9" tint="0.79998168889431442"/>
        <bgColor indexed="64"/>
      </patternFill>
    </fill>
    <fill>
      <patternFill patternType="solid">
        <fgColor rgb="FFFFFFCC"/>
        <bgColor indexed="64"/>
      </patternFill>
    </fill>
    <fill>
      <patternFill patternType="solid">
        <fgColor theme="0" tint="-4.9989318521683403E-2"/>
        <bgColor indexed="64"/>
      </patternFill>
    </fill>
  </fills>
  <borders count="50">
    <border>
      <left/>
      <right/>
      <top/>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medium">
        <color indexed="64"/>
      </bottom>
      <diagonal/>
    </border>
    <border>
      <left/>
      <right/>
      <top/>
      <bottom style="dotted">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diagonal/>
    </border>
    <border>
      <left/>
      <right/>
      <top style="thin">
        <color indexed="64"/>
      </top>
      <bottom style="thin">
        <color indexed="64"/>
      </bottom>
      <diagonal/>
    </border>
    <border>
      <left/>
      <right/>
      <top style="medium">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bottom style="dashed">
        <color indexed="64"/>
      </bottom>
      <diagonal/>
    </border>
    <border>
      <left/>
      <right style="thin">
        <color indexed="64"/>
      </right>
      <top/>
      <bottom style="dotted">
        <color indexed="64"/>
      </bottom>
      <diagonal/>
    </border>
    <border>
      <left style="thin">
        <color indexed="64"/>
      </left>
      <right/>
      <top style="thin">
        <color indexed="64"/>
      </top>
      <bottom style="double">
        <color indexed="64"/>
      </bottom>
      <diagonal/>
    </border>
    <border>
      <left style="thin">
        <color indexed="64"/>
      </left>
      <right/>
      <top/>
      <bottom style="medium">
        <color indexed="64"/>
      </bottom>
      <diagonal/>
    </border>
    <border>
      <left style="thin">
        <color indexed="64"/>
      </left>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auto="1"/>
      </top>
      <bottom/>
      <diagonal/>
    </border>
    <border>
      <left/>
      <right style="thin">
        <color indexed="64"/>
      </right>
      <top style="thin">
        <color indexed="64"/>
      </top>
      <bottom/>
      <diagonal/>
    </border>
    <border>
      <left/>
      <right style="thin">
        <color indexed="64"/>
      </right>
      <top style="medium">
        <color indexed="64"/>
      </top>
      <bottom/>
      <diagonal/>
    </border>
    <border>
      <left/>
      <right style="dotted">
        <color auto="1"/>
      </right>
      <top style="dotted">
        <color auto="1"/>
      </top>
      <bottom style="dotted">
        <color auto="1"/>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bottom style="dotted">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8">
    <xf numFmtId="0" fontId="0" fillId="0" borderId="0" xfId="0"/>
    <xf numFmtId="0" fontId="3" fillId="0" borderId="0" xfId="0" applyFont="1" applyAlignment="1">
      <alignment vertical="center"/>
    </xf>
    <xf numFmtId="44" fontId="3" fillId="0" borderId="0" xfId="0" applyNumberFormat="1" applyFont="1" applyAlignment="1">
      <alignment vertical="center"/>
    </xf>
    <xf numFmtId="0" fontId="3" fillId="0" borderId="0" xfId="0" applyFont="1" applyAlignment="1">
      <alignment horizontal="right" vertical="center"/>
    </xf>
    <xf numFmtId="10" fontId="4" fillId="0" borderId="0" xfId="0" applyNumberFormat="1" applyFont="1" applyAlignment="1">
      <alignment horizontal="right" vertical="center"/>
    </xf>
    <xf numFmtId="0" fontId="0" fillId="0" borderId="0" xfId="0" applyAlignment="1">
      <alignment vertical="center"/>
    </xf>
    <xf numFmtId="0" fontId="0" fillId="0" borderId="2" xfId="0" applyBorder="1"/>
    <xf numFmtId="0" fontId="3" fillId="0" borderId="5" xfId="0" applyFont="1" applyBorder="1" applyAlignment="1">
      <alignment vertical="center"/>
    </xf>
    <xf numFmtId="0" fontId="3" fillId="0" borderId="0" xfId="0" applyFont="1" applyAlignment="1">
      <alignment horizontal="left" vertical="center" indent="1"/>
    </xf>
    <xf numFmtId="44" fontId="3" fillId="0" borderId="9" xfId="0" applyNumberFormat="1" applyFont="1" applyBorder="1" applyAlignment="1">
      <alignment vertical="center"/>
    </xf>
    <xf numFmtId="0" fontId="3" fillId="0" borderId="2" xfId="0" applyFont="1" applyBorder="1" applyAlignment="1">
      <alignment vertical="center"/>
    </xf>
    <xf numFmtId="2" fontId="0" fillId="0" borderId="0" xfId="0" applyNumberFormat="1"/>
    <xf numFmtId="0" fontId="9"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6" fillId="0" borderId="0" xfId="0" applyFont="1" applyAlignment="1">
      <alignment vertical="center"/>
    </xf>
    <xf numFmtId="44" fontId="6" fillId="0" borderId="9" xfId="0" applyNumberFormat="1" applyFont="1" applyBorder="1" applyAlignment="1">
      <alignment vertical="center"/>
    </xf>
    <xf numFmtId="44" fontId="3" fillId="0" borderId="14" xfId="0" applyNumberFormat="1" applyFont="1" applyBorder="1" applyAlignment="1">
      <alignment vertical="center"/>
    </xf>
    <xf numFmtId="0" fontId="3" fillId="0" borderId="4" xfId="0" applyFont="1" applyBorder="1" applyAlignment="1">
      <alignment horizontal="left" vertical="center" indent="1"/>
    </xf>
    <xf numFmtId="0" fontId="3" fillId="0" borderId="15" xfId="0" applyFont="1" applyBorder="1" applyAlignment="1">
      <alignment horizontal="left" vertical="center" indent="1"/>
    </xf>
    <xf numFmtId="0" fontId="3" fillId="0" borderId="16" xfId="0" applyFont="1" applyBorder="1" applyAlignment="1">
      <alignment vertical="center"/>
    </xf>
    <xf numFmtId="10" fontId="4" fillId="0" borderId="18" xfId="2" applyNumberFormat="1" applyFont="1" applyBorder="1" applyAlignment="1">
      <alignment horizontal="right" vertical="center"/>
    </xf>
    <xf numFmtId="0" fontId="3" fillId="0" borderId="18" xfId="0" applyFont="1" applyBorder="1" applyAlignment="1">
      <alignment vertical="center"/>
    </xf>
    <xf numFmtId="0" fontId="5" fillId="0" borderId="0" xfId="0" applyFont="1" applyAlignment="1">
      <alignment vertical="center"/>
    </xf>
    <xf numFmtId="44" fontId="5" fillId="0" borderId="9" xfId="0" applyNumberFormat="1" applyFont="1" applyBorder="1" applyAlignment="1">
      <alignment vertical="center"/>
    </xf>
    <xf numFmtId="0" fontId="4" fillId="0" borderId="2" xfId="0" applyFont="1" applyBorder="1" applyAlignment="1">
      <alignment vertical="center"/>
    </xf>
    <xf numFmtId="44" fontId="4" fillId="0" borderId="14" xfId="0" applyNumberFormat="1" applyFont="1" applyBorder="1" applyAlignment="1">
      <alignment vertical="center"/>
    </xf>
    <xf numFmtId="0" fontId="3" fillId="0" borderId="2" xfId="0" applyFont="1" applyBorder="1" applyAlignment="1">
      <alignment horizontal="left" vertical="center" indent="1"/>
    </xf>
    <xf numFmtId="10" fontId="7" fillId="0" borderId="2" xfId="0" applyNumberFormat="1" applyFont="1" applyBorder="1" applyAlignment="1">
      <alignment horizontal="right" vertical="center"/>
    </xf>
    <xf numFmtId="0" fontId="3" fillId="0" borderId="6" xfId="0" applyFont="1" applyBorder="1" applyAlignment="1">
      <alignment vertical="center"/>
    </xf>
    <xf numFmtId="44" fontId="3" fillId="0" borderId="20" xfId="0" applyNumberFormat="1" applyFont="1" applyBorder="1" applyAlignment="1">
      <alignment vertical="center"/>
    </xf>
    <xf numFmtId="44" fontId="3" fillId="0" borderId="19" xfId="0" applyNumberFormat="1" applyFont="1" applyBorder="1" applyAlignment="1">
      <alignment vertical="center"/>
    </xf>
    <xf numFmtId="0" fontId="3" fillId="0" borderId="21" xfId="0" applyFont="1" applyBorder="1" applyAlignment="1">
      <alignment horizontal="left" vertical="center" indent="1"/>
    </xf>
    <xf numFmtId="0" fontId="3" fillId="0" borderId="12" xfId="0" applyFont="1" applyBorder="1" applyAlignment="1">
      <alignment vertical="center"/>
    </xf>
    <xf numFmtId="10" fontId="15" fillId="0" borderId="16" xfId="0" applyNumberFormat="1" applyFont="1" applyBorder="1" applyAlignment="1">
      <alignment vertical="center"/>
    </xf>
    <xf numFmtId="0" fontId="5" fillId="3" borderId="0" xfId="0" applyFont="1" applyFill="1" applyAlignment="1">
      <alignment vertical="center"/>
    </xf>
    <xf numFmtId="44" fontId="5" fillId="3" borderId="9" xfId="0" applyNumberFormat="1" applyFont="1" applyFill="1" applyBorder="1" applyAlignment="1">
      <alignment vertical="center"/>
    </xf>
    <xf numFmtId="2" fontId="3" fillId="0" borderId="0" xfId="0" applyNumberFormat="1" applyFont="1" applyAlignment="1">
      <alignment horizontal="right" vertical="center" indent="1"/>
    </xf>
    <xf numFmtId="10" fontId="9" fillId="0" borderId="0" xfId="0" applyNumberFormat="1" applyFont="1" applyAlignment="1">
      <alignment horizontal="left" vertical="center" indent="1"/>
    </xf>
    <xf numFmtId="0" fontId="13" fillId="0" borderId="0" xfId="0" applyFont="1" applyAlignment="1">
      <alignment vertical="center"/>
    </xf>
    <xf numFmtId="0" fontId="8" fillId="0" borderId="0" xfId="0" applyFont="1" applyAlignment="1">
      <alignment vertical="center"/>
    </xf>
    <xf numFmtId="0" fontId="16" fillId="0" borderId="0" xfId="0" applyFont="1" applyAlignment="1">
      <alignment vertical="center"/>
    </xf>
    <xf numFmtId="0" fontId="18" fillId="0" borderId="12" xfId="0" applyFont="1" applyBorder="1" applyAlignment="1">
      <alignment vertical="center"/>
    </xf>
    <xf numFmtId="44" fontId="18" fillId="0" borderId="13" xfId="0" applyNumberFormat="1" applyFont="1" applyBorder="1" applyAlignment="1">
      <alignment vertical="center"/>
    </xf>
    <xf numFmtId="44" fontId="6" fillId="5" borderId="24" xfId="0" applyNumberFormat="1" applyFont="1" applyFill="1" applyBorder="1" applyAlignment="1">
      <alignment vertical="center"/>
    </xf>
    <xf numFmtId="0" fontId="6" fillId="5" borderId="27" xfId="0" applyFont="1" applyFill="1" applyBorder="1" applyAlignment="1">
      <alignment vertical="center"/>
    </xf>
    <xf numFmtId="0" fontId="6" fillId="5" borderId="29" xfId="0" applyFont="1" applyFill="1" applyBorder="1" applyAlignment="1">
      <alignment vertical="center"/>
    </xf>
    <xf numFmtId="0" fontId="3" fillId="0" borderId="1" xfId="0" applyFont="1" applyBorder="1" applyAlignment="1">
      <alignment vertical="center"/>
    </xf>
    <xf numFmtId="0" fontId="2" fillId="0" borderId="2" xfId="0" applyFont="1" applyBorder="1" applyAlignment="1">
      <alignment vertical="center"/>
    </xf>
    <xf numFmtId="0" fontId="2" fillId="0" borderId="2" xfId="0" applyFont="1" applyBorder="1"/>
    <xf numFmtId="10" fontId="0" fillId="0" borderId="0" xfId="2" applyNumberFormat="1" applyFont="1" applyFill="1" applyAlignment="1" applyProtection="1">
      <alignment vertical="center"/>
    </xf>
    <xf numFmtId="2" fontId="0" fillId="0" borderId="0" xfId="1" applyNumberFormat="1" applyFont="1" applyFill="1" applyAlignment="1" applyProtection="1">
      <alignment vertical="center"/>
    </xf>
    <xf numFmtId="2" fontId="0" fillId="0" borderId="0" xfId="1" applyNumberFormat="1" applyFont="1" applyFill="1" applyBorder="1" applyAlignment="1" applyProtection="1">
      <alignment vertical="center"/>
    </xf>
    <xf numFmtId="8" fontId="0" fillId="2" borderId="3" xfId="0" applyNumberFormat="1" applyFill="1" applyBorder="1" applyAlignment="1" applyProtection="1">
      <alignment vertical="center"/>
      <protection locked="0"/>
    </xf>
    <xf numFmtId="10" fontId="6" fillId="2" borderId="24" xfId="2" applyNumberFormat="1" applyFont="1" applyFill="1" applyBorder="1" applyAlignment="1" applyProtection="1">
      <alignment vertical="center"/>
      <protection locked="0"/>
    </xf>
    <xf numFmtId="10" fontId="6" fillId="2" borderId="26" xfId="2" applyNumberFormat="1" applyFont="1" applyFill="1" applyBorder="1" applyAlignment="1" applyProtection="1">
      <alignment vertical="center"/>
      <protection locked="0"/>
    </xf>
    <xf numFmtId="0" fontId="3" fillId="0" borderId="0" xfId="0" applyFont="1" applyAlignment="1">
      <alignment horizontal="left" vertical="center" indent="3"/>
    </xf>
    <xf numFmtId="9" fontId="8" fillId="0" borderId="0" xfId="2" applyFont="1" applyFill="1" applyAlignment="1" applyProtection="1">
      <alignment horizontal="right" vertical="center"/>
    </xf>
    <xf numFmtId="2" fontId="0" fillId="0" borderId="6" xfId="1" applyNumberFormat="1" applyFont="1" applyFill="1" applyBorder="1" applyAlignment="1" applyProtection="1">
      <alignment vertical="center"/>
    </xf>
    <xf numFmtId="2" fontId="3" fillId="0" borderId="3" xfId="0" applyNumberFormat="1" applyFont="1" applyBorder="1" applyAlignment="1">
      <alignment horizontal="right" vertical="center" indent="1"/>
    </xf>
    <xf numFmtId="0" fontId="6" fillId="0" borderId="1" xfId="0" applyFont="1" applyBorder="1" applyAlignment="1">
      <alignment vertical="center"/>
    </xf>
    <xf numFmtId="44" fontId="6" fillId="0" borderId="37" xfId="0" applyNumberFormat="1" applyFont="1" applyBorder="1" applyAlignment="1">
      <alignment vertical="center"/>
    </xf>
    <xf numFmtId="2" fontId="3" fillId="0" borderId="1" xfId="0" applyNumberFormat="1" applyFont="1" applyBorder="1" applyAlignment="1">
      <alignment horizontal="right" vertical="center" indent="1"/>
    </xf>
    <xf numFmtId="0" fontId="5" fillId="4" borderId="1" xfId="0" applyFont="1" applyFill="1" applyBorder="1" applyAlignment="1">
      <alignment vertical="center"/>
    </xf>
    <xf numFmtId="44" fontId="10" fillId="4" borderId="37" xfId="0" applyNumberFormat="1" applyFont="1" applyFill="1" applyBorder="1" applyAlignment="1">
      <alignment vertical="center"/>
    </xf>
    <xf numFmtId="2" fontId="3" fillId="0" borderId="4" xfId="0" applyNumberFormat="1" applyFont="1" applyBorder="1" applyAlignment="1">
      <alignment horizontal="right" vertical="center" indent="1"/>
    </xf>
    <xf numFmtId="0" fontId="16" fillId="5" borderId="11" xfId="0" applyFont="1" applyFill="1" applyBorder="1" applyAlignment="1">
      <alignment vertical="center"/>
    </xf>
    <xf numFmtId="44" fontId="16" fillId="5" borderId="38" xfId="0" applyNumberFormat="1" applyFont="1" applyFill="1" applyBorder="1" applyAlignment="1">
      <alignment vertical="center"/>
    </xf>
    <xf numFmtId="0" fontId="3" fillId="0" borderId="11" xfId="0" applyFont="1" applyBorder="1" applyAlignment="1">
      <alignment vertical="center"/>
    </xf>
    <xf numFmtId="10" fontId="0" fillId="0" borderId="0" xfId="0" applyNumberFormat="1"/>
    <xf numFmtId="10" fontId="0" fillId="0" borderId="0" xfId="2" applyNumberFormat="1" applyFont="1" applyBorder="1" applyAlignment="1">
      <alignment vertical="center"/>
    </xf>
    <xf numFmtId="0" fontId="8" fillId="0" borderId="2" xfId="0" applyFont="1" applyBorder="1" applyAlignment="1">
      <alignment vertical="center"/>
    </xf>
    <xf numFmtId="0" fontId="14" fillId="0" borderId="2" xfId="0" applyFont="1" applyBorder="1" applyAlignment="1">
      <alignment horizontal="center" vertical="center"/>
    </xf>
    <xf numFmtId="0" fontId="8" fillId="0" borderId="2" xfId="0" applyFont="1" applyBorder="1" applyAlignment="1">
      <alignment horizontal="left" vertical="center"/>
    </xf>
    <xf numFmtId="9" fontId="8" fillId="0" borderId="2" xfId="2" applyFont="1" applyFill="1" applyBorder="1" applyAlignment="1" applyProtection="1">
      <alignment horizontal="right" vertical="center"/>
    </xf>
    <xf numFmtId="44" fontId="8" fillId="0" borderId="2" xfId="1" applyFont="1" applyFill="1" applyBorder="1" applyAlignment="1" applyProtection="1">
      <alignment vertical="center"/>
    </xf>
    <xf numFmtId="44" fontId="16" fillId="0" borderId="9" xfId="0" applyNumberFormat="1" applyFont="1" applyBorder="1" applyAlignment="1">
      <alignment vertical="center"/>
    </xf>
    <xf numFmtId="0" fontId="3" fillId="0" borderId="11" xfId="0" applyFont="1" applyBorder="1" applyAlignment="1">
      <alignment horizontal="left" vertical="center" indent="3"/>
    </xf>
    <xf numFmtId="0" fontId="3" fillId="0" borderId="5" xfId="0" applyFont="1" applyBorder="1" applyAlignment="1">
      <alignment horizontal="right" vertical="center"/>
    </xf>
    <xf numFmtId="0" fontId="17" fillId="0" borderId="7" xfId="0" applyFont="1" applyBorder="1" applyAlignment="1">
      <alignment horizontal="right" vertical="center" indent="1"/>
    </xf>
    <xf numFmtId="0" fontId="17" fillId="0" borderId="8" xfId="0" applyFont="1" applyBorder="1" applyAlignment="1">
      <alignment horizontal="right" vertical="center" indent="1"/>
    </xf>
    <xf numFmtId="10" fontId="0" fillId="0" borderId="6" xfId="2" applyNumberFormat="1" applyFont="1" applyFill="1" applyBorder="1" applyAlignment="1" applyProtection="1">
      <alignment vertical="center"/>
    </xf>
    <xf numFmtId="0" fontId="8" fillId="0" borderId="30" xfId="0" applyFont="1" applyBorder="1" applyAlignment="1">
      <alignment vertical="center"/>
    </xf>
    <xf numFmtId="2" fontId="8" fillId="2" borderId="30" xfId="2" applyNumberFormat="1" applyFont="1" applyFill="1" applyBorder="1" applyAlignment="1" applyProtection="1">
      <alignment horizontal="right" vertical="center"/>
      <protection locked="0"/>
    </xf>
    <xf numFmtId="2" fontId="8" fillId="0" borderId="30" xfId="2" applyNumberFormat="1" applyFont="1" applyFill="1" applyBorder="1" applyAlignment="1" applyProtection="1">
      <alignment horizontal="right" vertical="center"/>
    </xf>
    <xf numFmtId="44" fontId="8" fillId="2" borderId="30" xfId="1" applyFont="1" applyFill="1" applyBorder="1" applyAlignment="1" applyProtection="1">
      <alignment vertical="center"/>
      <protection locked="0"/>
    </xf>
    <xf numFmtId="0" fontId="8" fillId="0" borderId="36" xfId="0" applyFont="1" applyBorder="1" applyAlignment="1">
      <alignment vertical="center"/>
    </xf>
    <xf numFmtId="2" fontId="8" fillId="2" borderId="36" xfId="2" applyNumberFormat="1" applyFont="1" applyFill="1" applyBorder="1" applyAlignment="1" applyProtection="1">
      <alignment horizontal="right" vertical="center"/>
      <protection locked="0"/>
    </xf>
    <xf numFmtId="0" fontId="8" fillId="0" borderId="6" xfId="0" applyFont="1" applyBorder="1" applyAlignment="1">
      <alignment horizontal="right" vertical="center"/>
    </xf>
    <xf numFmtId="2" fontId="8" fillId="0" borderId="6" xfId="2" applyNumberFormat="1" applyFont="1" applyFill="1" applyBorder="1" applyAlignment="1" applyProtection="1">
      <alignment horizontal="right" vertical="center"/>
    </xf>
    <xf numFmtId="10" fontId="8" fillId="2" borderId="30" xfId="1" applyNumberFormat="1" applyFont="1" applyFill="1" applyBorder="1" applyAlignment="1" applyProtection="1">
      <alignment vertical="center"/>
      <protection locked="0"/>
    </xf>
    <xf numFmtId="10" fontId="8" fillId="2" borderId="30" xfId="2" applyNumberFormat="1" applyFont="1" applyFill="1" applyBorder="1" applyAlignment="1" applyProtection="1">
      <alignment horizontal="right" vertical="center"/>
      <protection locked="0"/>
    </xf>
    <xf numFmtId="0" fontId="3" fillId="0" borderId="30" xfId="0" applyFont="1" applyBorder="1" applyAlignment="1">
      <alignment vertical="center"/>
    </xf>
    <xf numFmtId="44" fontId="8" fillId="2" borderId="36" xfId="1" applyFont="1" applyFill="1" applyBorder="1" applyAlignment="1" applyProtection="1">
      <alignment horizontal="right" vertical="center"/>
      <protection locked="0"/>
    </xf>
    <xf numFmtId="44" fontId="8" fillId="0" borderId="6" xfId="1" applyFont="1" applyFill="1" applyBorder="1" applyAlignment="1" applyProtection="1">
      <alignment horizontal="right" vertical="center"/>
    </xf>
    <xf numFmtId="2" fontId="3" fillId="0" borderId="30" xfId="0" applyNumberFormat="1" applyFont="1" applyBorder="1" applyAlignment="1">
      <alignment vertical="center"/>
    </xf>
    <xf numFmtId="2" fontId="3" fillId="2" borderId="30" xfId="0" applyNumberFormat="1" applyFont="1" applyFill="1" applyBorder="1" applyAlignment="1" applyProtection="1">
      <alignment vertical="center"/>
      <protection locked="0"/>
    </xf>
    <xf numFmtId="2" fontId="3" fillId="0" borderId="0" xfId="0" applyNumberFormat="1" applyFont="1" applyAlignment="1">
      <alignment vertical="center"/>
    </xf>
    <xf numFmtId="2" fontId="3" fillId="0" borderId="6" xfId="0" applyNumberFormat="1" applyFont="1" applyBorder="1" applyAlignment="1">
      <alignment vertical="center"/>
    </xf>
    <xf numFmtId="10" fontId="0" fillId="0" borderId="0" xfId="2" applyNumberFormat="1" applyFont="1" applyFill="1" applyAlignment="1" applyProtection="1">
      <alignment horizontal="right" vertical="center"/>
    </xf>
    <xf numFmtId="10" fontId="8" fillId="2" borderId="30" xfId="0" applyNumberFormat="1" applyFont="1" applyFill="1" applyBorder="1" applyAlignment="1" applyProtection="1">
      <alignment vertical="center"/>
      <protection locked="0"/>
    </xf>
    <xf numFmtId="44" fontId="0" fillId="0" borderId="1" xfId="1" applyFont="1" applyFill="1" applyBorder="1" applyAlignment="1" applyProtection="1">
      <alignment vertical="center"/>
    </xf>
    <xf numFmtId="0" fontId="19" fillId="0" borderId="0" xfId="0" applyFont="1" applyAlignment="1">
      <alignment horizontal="right" vertical="center"/>
    </xf>
    <xf numFmtId="0" fontId="0" fillId="0" borderId="0" xfId="0" applyAlignment="1">
      <alignment horizontal="right" vertical="center"/>
    </xf>
    <xf numFmtId="2" fontId="0" fillId="0" borderId="0" xfId="0" applyNumberFormat="1" applyAlignment="1">
      <alignment vertical="center"/>
    </xf>
    <xf numFmtId="0" fontId="0" fillId="0" borderId="0" xfId="0" applyAlignment="1">
      <alignment horizontal="left" vertical="center" indent="1"/>
    </xf>
    <xf numFmtId="0" fontId="0" fillId="0" borderId="6" xfId="0" applyBorder="1" applyAlignment="1">
      <alignment horizontal="right" vertical="center"/>
    </xf>
    <xf numFmtId="2" fontId="0" fillId="0" borderId="6" xfId="0" applyNumberFormat="1" applyBorder="1" applyAlignment="1">
      <alignment vertical="center"/>
    </xf>
    <xf numFmtId="0" fontId="0" fillId="0" borderId="6" xfId="0" applyBorder="1" applyAlignment="1">
      <alignment vertical="center"/>
    </xf>
    <xf numFmtId="0" fontId="0" fillId="0" borderId="6" xfId="0" applyBorder="1"/>
    <xf numFmtId="0" fontId="19" fillId="0" borderId="36" xfId="0" applyFont="1" applyBorder="1" applyAlignment="1">
      <alignment horizontal="right" vertical="center"/>
    </xf>
    <xf numFmtId="20" fontId="0" fillId="0" borderId="0" xfId="0" applyNumberFormat="1"/>
    <xf numFmtId="0" fontId="19" fillId="0" borderId="0" xfId="0" applyFont="1" applyAlignment="1">
      <alignment vertical="center"/>
    </xf>
    <xf numFmtId="0" fontId="0" fillId="0" borderId="0" xfId="0" applyAlignment="1">
      <alignment horizontal="left" vertical="center"/>
    </xf>
    <xf numFmtId="0" fontId="2" fillId="0" borderId="0" xfId="0" applyFont="1" applyAlignment="1">
      <alignment vertical="center"/>
    </xf>
    <xf numFmtId="0" fontId="0" fillId="0" borderId="1" xfId="0" applyBorder="1" applyAlignment="1">
      <alignment horizontal="left" vertical="center" indent="1"/>
    </xf>
    <xf numFmtId="0" fontId="0" fillId="0" borderId="1" xfId="0" applyBorder="1"/>
    <xf numFmtId="44" fontId="0" fillId="0" borderId="0" xfId="1" applyFont="1" applyProtection="1"/>
    <xf numFmtId="0" fontId="0" fillId="0" borderId="0" xfId="0" applyAlignment="1">
      <alignment horizontal="left" indent="1"/>
    </xf>
    <xf numFmtId="44" fontId="0" fillId="0" borderId="0" xfId="0" applyNumberFormat="1"/>
    <xf numFmtId="2" fontId="0" fillId="0" borderId="0" xfId="0" applyNumberFormat="1" applyAlignment="1">
      <alignment horizontal="right" vertical="center"/>
    </xf>
    <xf numFmtId="0" fontId="0" fillId="0" borderId="0" xfId="0" applyAlignment="1">
      <alignment horizontal="center"/>
    </xf>
    <xf numFmtId="0" fontId="0" fillId="0" borderId="6" xfId="0" applyBorder="1" applyAlignment="1">
      <alignment horizontal="left" vertical="center" indent="1"/>
    </xf>
    <xf numFmtId="0" fontId="0" fillId="0" borderId="6" xfId="0" applyBorder="1" applyAlignment="1">
      <alignment horizontal="center"/>
    </xf>
    <xf numFmtId="0" fontId="0" fillId="0" borderId="2" xfId="0" applyBorder="1" applyAlignment="1">
      <alignment vertical="center"/>
    </xf>
    <xf numFmtId="0" fontId="3" fillId="0" borderId="1" xfId="0" applyFont="1" applyBorder="1" applyAlignment="1">
      <alignment horizontal="left" vertical="center"/>
    </xf>
    <xf numFmtId="10" fontId="9" fillId="0" borderId="0" xfId="0" applyNumberFormat="1" applyFont="1" applyAlignment="1">
      <alignment horizontal="left" vertical="center"/>
    </xf>
    <xf numFmtId="10" fontId="9" fillId="0" borderId="2" xfId="0" applyNumberFormat="1" applyFont="1" applyBorder="1" applyAlignment="1">
      <alignment horizontal="left" vertical="center"/>
    </xf>
    <xf numFmtId="10" fontId="9" fillId="0" borderId="1" xfId="0" applyNumberFormat="1" applyFont="1" applyBorder="1" applyAlignment="1">
      <alignment horizontal="left" vertical="center"/>
    </xf>
    <xf numFmtId="0" fontId="8" fillId="0" borderId="10" xfId="0" applyFont="1" applyBorder="1" applyAlignment="1">
      <alignment vertical="center"/>
    </xf>
    <xf numFmtId="9" fontId="3" fillId="2" borderId="10" xfId="0" applyNumberFormat="1" applyFont="1" applyFill="1" applyBorder="1" applyAlignment="1" applyProtection="1">
      <alignment vertical="center"/>
      <protection locked="0"/>
    </xf>
    <xf numFmtId="0" fontId="9" fillId="0" borderId="2" xfId="0" applyFont="1" applyBorder="1" applyAlignment="1">
      <alignment vertical="center"/>
    </xf>
    <xf numFmtId="0" fontId="0" fillId="2" borderId="0" xfId="0" applyFill="1" applyAlignment="1" applyProtection="1">
      <alignment horizontal="left" vertical="center" indent="1"/>
      <protection locked="0"/>
    </xf>
    <xf numFmtId="0" fontId="0" fillId="2" borderId="0" xfId="0" applyFill="1" applyAlignment="1" applyProtection="1">
      <alignment horizontal="left" indent="1"/>
      <protection locked="0"/>
    </xf>
    <xf numFmtId="0" fontId="2" fillId="0" borderId="2" xfId="0" applyFont="1" applyBorder="1" applyAlignment="1">
      <alignment horizontal="left" vertical="center"/>
    </xf>
    <xf numFmtId="0" fontId="22" fillId="0" borderId="0" xfId="0" applyFont="1" applyAlignment="1">
      <alignment vertical="top" wrapText="1"/>
    </xf>
    <xf numFmtId="0" fontId="22" fillId="0" borderId="0" xfId="0" applyFont="1" applyAlignment="1">
      <alignment vertical="top"/>
    </xf>
    <xf numFmtId="0" fontId="8" fillId="0" borderId="6" xfId="0" applyFont="1" applyBorder="1" applyAlignment="1">
      <alignment vertical="center"/>
    </xf>
    <xf numFmtId="44" fontId="8" fillId="0" borderId="6" xfId="1" applyFont="1" applyFill="1" applyBorder="1" applyAlignment="1" applyProtection="1">
      <alignment vertical="center"/>
    </xf>
    <xf numFmtId="10" fontId="8" fillId="2" borderId="6" xfId="2" applyNumberFormat="1" applyFont="1" applyFill="1" applyBorder="1" applyAlignment="1" applyProtection="1">
      <alignment horizontal="right" vertical="center"/>
      <protection locked="0"/>
    </xf>
    <xf numFmtId="2" fontId="8" fillId="2" borderId="6" xfId="2" applyNumberFormat="1" applyFont="1" applyFill="1" applyBorder="1" applyAlignment="1" applyProtection="1">
      <alignment horizontal="right" vertical="center"/>
      <protection locked="0"/>
    </xf>
    <xf numFmtId="2" fontId="8" fillId="0" borderId="0" xfId="2" applyNumberFormat="1" applyFont="1" applyFill="1" applyBorder="1" applyAlignment="1" applyProtection="1">
      <alignment horizontal="right" vertical="center"/>
    </xf>
    <xf numFmtId="44" fontId="6" fillId="0" borderId="25" xfId="0" applyNumberFormat="1" applyFont="1" applyBorder="1" applyAlignment="1">
      <alignment horizontal="left" vertical="center"/>
    </xf>
    <xf numFmtId="44" fontId="6" fillId="0" borderId="43" xfId="0" applyNumberFormat="1" applyFont="1" applyBorder="1" applyAlignment="1">
      <alignment horizontal="left" vertical="center"/>
    </xf>
    <xf numFmtId="0" fontId="6" fillId="0" borderId="29" xfId="0" applyFont="1" applyBorder="1" applyAlignment="1">
      <alignment vertical="center"/>
    </xf>
    <xf numFmtId="0" fontId="0" fillId="0" borderId="36" xfId="0" applyBorder="1" applyAlignment="1">
      <alignment horizontal="left" vertical="center" indent="1"/>
    </xf>
    <xf numFmtId="2" fontId="8" fillId="0" borderId="36" xfId="2" applyNumberFormat="1" applyFont="1" applyFill="1" applyBorder="1" applyAlignment="1" applyProtection="1">
      <alignment horizontal="right" vertical="center"/>
    </xf>
    <xf numFmtId="0" fontId="8" fillId="0" borderId="6" xfId="0" applyFont="1" applyBorder="1" applyAlignment="1">
      <alignment horizontal="left" vertical="center"/>
    </xf>
    <xf numFmtId="2" fontId="3" fillId="0" borderId="0" xfId="0" applyNumberFormat="1" applyFont="1" applyAlignment="1">
      <alignment horizontal="left" vertical="center" indent="3"/>
    </xf>
    <xf numFmtId="44" fontId="3" fillId="0" borderId="9" xfId="1" applyFont="1" applyBorder="1" applyAlignment="1">
      <alignment vertical="center"/>
    </xf>
    <xf numFmtId="2" fontId="3" fillId="0" borderId="3" xfId="0" applyNumberFormat="1" applyFont="1" applyBorder="1" applyAlignment="1">
      <alignment horizontal="left" vertical="center" indent="3"/>
    </xf>
    <xf numFmtId="2" fontId="3" fillId="0" borderId="45" xfId="0" applyNumberFormat="1" applyFont="1" applyBorder="1" applyAlignment="1">
      <alignment horizontal="left" vertical="center" indent="3"/>
    </xf>
    <xf numFmtId="2" fontId="3" fillId="0" borderId="6" xfId="0" applyNumberFormat="1" applyFont="1" applyBorder="1" applyAlignment="1">
      <alignment horizontal="left" vertical="center" indent="3"/>
    </xf>
    <xf numFmtId="2" fontId="3" fillId="0" borderId="4" xfId="0" applyNumberFormat="1" applyFont="1" applyBorder="1" applyAlignment="1">
      <alignment horizontal="left" vertical="center" indent="3"/>
    </xf>
    <xf numFmtId="2" fontId="3" fillId="0" borderId="2" xfId="0" applyNumberFormat="1" applyFont="1" applyBorder="1" applyAlignment="1">
      <alignment horizontal="left" vertical="center" indent="3"/>
    </xf>
    <xf numFmtId="0" fontId="23" fillId="0" borderId="16" xfId="0" applyFont="1" applyBorder="1" applyAlignment="1">
      <alignment vertical="center"/>
    </xf>
    <xf numFmtId="44" fontId="23" fillId="0" borderId="19" xfId="0" applyNumberFormat="1" applyFont="1" applyBorder="1" applyAlignment="1">
      <alignment vertical="center"/>
    </xf>
    <xf numFmtId="10" fontId="24" fillId="0" borderId="15" xfId="0" applyNumberFormat="1" applyFont="1" applyBorder="1" applyAlignment="1">
      <alignment horizontal="right" vertical="center"/>
    </xf>
    <xf numFmtId="10" fontId="23" fillId="0" borderId="3" xfId="0" applyNumberFormat="1" applyFont="1" applyBorder="1" applyAlignment="1">
      <alignment horizontal="right" vertical="center"/>
    </xf>
    <xf numFmtId="10" fontId="23" fillId="0" borderId="17" xfId="0" applyNumberFormat="1" applyFont="1" applyBorder="1" applyAlignment="1">
      <alignment horizontal="right" vertical="center"/>
    </xf>
    <xf numFmtId="0" fontId="25" fillId="0" borderId="3" xfId="0" applyFont="1" applyBorder="1" applyAlignment="1">
      <alignment horizontal="left" vertical="center" indent="3"/>
    </xf>
    <xf numFmtId="0" fontId="6" fillId="3" borderId="46" xfId="0" applyFont="1" applyFill="1" applyBorder="1" applyAlignment="1">
      <alignment vertical="center"/>
    </xf>
    <xf numFmtId="44" fontId="5" fillId="3" borderId="34" xfId="0" applyNumberFormat="1" applyFont="1" applyFill="1" applyBorder="1" applyAlignment="1">
      <alignment horizontal="right" vertical="center"/>
    </xf>
    <xf numFmtId="0" fontId="26" fillId="0" borderId="0" xfId="0" applyFont="1" applyAlignment="1">
      <alignment horizontal="left" vertical="center" indent="1"/>
    </xf>
    <xf numFmtId="44" fontId="5" fillId="5" borderId="26" xfId="0" applyNumberFormat="1" applyFont="1" applyFill="1" applyBorder="1" applyAlignment="1">
      <alignment vertical="center"/>
    </xf>
    <xf numFmtId="10" fontId="6" fillId="0" borderId="26" xfId="0" applyNumberFormat="1" applyFont="1" applyBorder="1" applyAlignment="1">
      <alignment vertical="center"/>
    </xf>
    <xf numFmtId="44" fontId="6" fillId="0" borderId="31" xfId="0" applyNumberFormat="1" applyFont="1" applyBorder="1" applyAlignment="1">
      <alignment vertical="center"/>
    </xf>
    <xf numFmtId="0" fontId="6" fillId="0" borderId="23" xfId="0" applyFont="1" applyBorder="1" applyAlignment="1">
      <alignment vertical="center"/>
    </xf>
    <xf numFmtId="0" fontId="6" fillId="0" borderId="32" xfId="0" applyFont="1" applyBorder="1" applyAlignment="1">
      <alignment vertical="center"/>
    </xf>
    <xf numFmtId="44" fontId="6" fillId="0" borderId="33" xfId="0" applyNumberFormat="1" applyFont="1" applyBorder="1" applyAlignment="1">
      <alignment vertical="center"/>
    </xf>
    <xf numFmtId="0" fontId="6" fillId="0" borderId="46" xfId="0" applyFont="1" applyBorder="1" applyAlignment="1">
      <alignment vertical="center"/>
    </xf>
    <xf numFmtId="44" fontId="5" fillId="0" borderId="44" xfId="0" applyNumberFormat="1" applyFont="1" applyBorder="1" applyAlignment="1">
      <alignment horizontal="left" vertical="center" indent="1"/>
    </xf>
    <xf numFmtId="44" fontId="6" fillId="0" borderId="49" xfId="1" applyFont="1" applyBorder="1" applyAlignment="1">
      <alignment vertical="center"/>
    </xf>
    <xf numFmtId="44" fontId="0" fillId="2" borderId="0" xfId="1" applyFont="1" applyFill="1" applyAlignment="1" applyProtection="1">
      <alignment vertical="center"/>
    </xf>
    <xf numFmtId="14" fontId="3" fillId="0" borderId="0" xfId="0" applyNumberFormat="1" applyFont="1" applyAlignment="1">
      <alignment vertical="center"/>
    </xf>
    <xf numFmtId="14" fontId="3" fillId="0" borderId="6" xfId="0" applyNumberFormat="1" applyFont="1" applyBorder="1" applyAlignment="1">
      <alignment vertical="center"/>
    </xf>
    <xf numFmtId="0" fontId="22" fillId="0" borderId="0" xfId="0" applyFont="1" applyAlignment="1">
      <alignment horizontal="left" vertical="top" wrapText="1"/>
    </xf>
    <xf numFmtId="0" fontId="22" fillId="0" borderId="2" xfId="0" applyFont="1" applyBorder="1" applyAlignment="1">
      <alignment horizontal="left" vertical="top" wrapText="1"/>
    </xf>
    <xf numFmtId="0" fontId="8" fillId="2" borderId="35" xfId="0" applyFont="1" applyFill="1" applyBorder="1" applyAlignment="1" applyProtection="1">
      <alignment horizontal="left" vertical="center"/>
      <protection locked="0"/>
    </xf>
    <xf numFmtId="0" fontId="8" fillId="2" borderId="39" xfId="0" applyFont="1" applyFill="1" applyBorder="1" applyAlignment="1" applyProtection="1">
      <alignment horizontal="left" vertical="center"/>
      <protection locked="0"/>
    </xf>
    <xf numFmtId="0" fontId="20" fillId="0" borderId="0" xfId="0" applyFont="1" applyAlignment="1">
      <alignment horizontal="left" vertical="top"/>
    </xf>
    <xf numFmtId="0" fontId="22" fillId="0" borderId="0" xfId="0" applyFont="1" applyAlignment="1">
      <alignment horizontal="left" vertical="center"/>
    </xf>
    <xf numFmtId="0" fontId="11" fillId="0" borderId="0" xfId="0" applyFont="1" applyAlignment="1">
      <alignment horizontal="left" vertical="center"/>
    </xf>
    <xf numFmtId="0" fontId="0" fillId="0" borderId="36" xfId="0" applyBorder="1" applyAlignment="1">
      <alignment horizontal="left" vertical="center" indent="1"/>
    </xf>
    <xf numFmtId="0" fontId="0" fillId="0" borderId="6" xfId="0" applyBorder="1" applyAlignment="1">
      <alignment horizontal="left" vertical="center" indent="1"/>
    </xf>
    <xf numFmtId="0" fontId="0" fillId="0" borderId="28" xfId="0" applyBorder="1" applyAlignment="1">
      <alignment horizontal="left" vertical="center" indent="1"/>
    </xf>
    <xf numFmtId="0" fontId="0" fillId="0" borderId="30" xfId="0" applyBorder="1" applyAlignment="1">
      <alignment horizontal="left" vertical="center" indent="1"/>
    </xf>
    <xf numFmtId="0" fontId="0" fillId="0" borderId="10" xfId="0" applyBorder="1" applyAlignment="1">
      <alignment horizontal="left" vertical="center" indent="1"/>
    </xf>
    <xf numFmtId="0" fontId="0" fillId="0" borderId="0" xfId="0" applyAlignment="1">
      <alignment horizontal="left" vertical="center" indent="1"/>
    </xf>
    <xf numFmtId="0" fontId="0" fillId="0" borderId="1" xfId="0" applyBorder="1" applyAlignment="1">
      <alignment horizontal="left" vertical="center" indent="1"/>
    </xf>
    <xf numFmtId="0" fontId="6" fillId="0" borderId="40" xfId="0" applyFont="1" applyBorder="1" applyAlignment="1">
      <alignment horizontal="left" vertical="center"/>
    </xf>
    <xf numFmtId="0" fontId="6" fillId="0" borderId="24" xfId="0" applyFont="1" applyBorder="1" applyAlignment="1">
      <alignment horizontal="left" vertical="center"/>
    </xf>
    <xf numFmtId="0" fontId="6" fillId="0" borderId="41" xfId="0" applyFont="1" applyBorder="1" applyAlignment="1">
      <alignment horizontal="left" vertical="center"/>
    </xf>
    <xf numFmtId="0" fontId="6" fillId="0" borderId="42" xfId="0" applyFont="1" applyBorder="1" applyAlignment="1">
      <alignment horizontal="left" vertical="center"/>
    </xf>
    <xf numFmtId="0" fontId="3" fillId="0" borderId="22" xfId="0" applyFont="1" applyBorder="1" applyAlignment="1">
      <alignment horizontal="left" vertical="center" indent="3"/>
    </xf>
    <xf numFmtId="0" fontId="3" fillId="0" borderId="5" xfId="0" applyFont="1" applyBorder="1" applyAlignment="1">
      <alignment horizontal="left" vertical="center" indent="3"/>
    </xf>
    <xf numFmtId="2" fontId="3" fillId="0" borderId="3" xfId="0" applyNumberFormat="1" applyFont="1" applyBorder="1" applyAlignment="1">
      <alignment horizontal="left" vertical="center" indent="3"/>
    </xf>
    <xf numFmtId="2" fontId="3" fillId="0" borderId="0" xfId="0" applyNumberFormat="1" applyFont="1" applyAlignment="1">
      <alignment horizontal="left" vertical="center" indent="3"/>
    </xf>
    <xf numFmtId="10" fontId="9" fillId="0" borderId="0" xfId="0" applyNumberFormat="1" applyFont="1" applyAlignment="1">
      <alignment horizontal="left" vertical="center"/>
    </xf>
    <xf numFmtId="10" fontId="9" fillId="0" borderId="18" xfId="0" applyNumberFormat="1" applyFont="1" applyBorder="1" applyAlignment="1">
      <alignment horizontal="left" vertical="center"/>
    </xf>
    <xf numFmtId="44" fontId="5" fillId="3" borderId="10" xfId="0" applyNumberFormat="1" applyFont="1" applyFill="1" applyBorder="1" applyAlignment="1">
      <alignment horizontal="center" vertical="center"/>
    </xf>
    <xf numFmtId="44" fontId="5" fillId="3" borderId="47" xfId="0" applyNumberFormat="1" applyFont="1" applyFill="1" applyBorder="1" applyAlignment="1">
      <alignment horizontal="center" vertical="center"/>
    </xf>
    <xf numFmtId="44" fontId="5" fillId="2" borderId="48" xfId="0" applyNumberFormat="1" applyFont="1" applyFill="1" applyBorder="1" applyAlignment="1" applyProtection="1">
      <alignment horizontal="center" vertical="center"/>
      <protection locked="0"/>
    </xf>
    <xf numFmtId="44" fontId="5" fillId="2" borderId="47" xfId="0" applyNumberFormat="1" applyFont="1" applyFill="1" applyBorder="1" applyAlignment="1" applyProtection="1">
      <alignment horizontal="center" vertical="center"/>
      <protection locked="0"/>
    </xf>
    <xf numFmtId="0" fontId="2" fillId="0" borderId="4" xfId="0" applyFont="1" applyBorder="1" applyAlignment="1">
      <alignment horizontal="left" vertical="center" indent="1"/>
    </xf>
    <xf numFmtId="0" fontId="2" fillId="0" borderId="2" xfId="0" applyFont="1" applyBorder="1" applyAlignment="1">
      <alignment horizontal="left" vertical="center" indent="1"/>
    </xf>
    <xf numFmtId="0" fontId="3" fillId="0" borderId="0" xfId="0" applyFont="1" applyBorder="1" applyAlignment="1">
      <alignment vertical="center"/>
    </xf>
    <xf numFmtId="0" fontId="3" fillId="0" borderId="0" xfId="0" applyFont="1" applyBorder="1" applyAlignment="1">
      <alignment horizontal="left" vertical="center" indent="3"/>
    </xf>
  </cellXfs>
  <cellStyles count="3">
    <cellStyle name="Prozent" xfId="2" builtinId="5"/>
    <cellStyle name="Standard" xfId="0" builtinId="0"/>
    <cellStyle name="Währung" xfId="1" builtinId="4"/>
  </cellStyles>
  <dxfs count="12">
    <dxf>
      <font>
        <b/>
        <i val="0"/>
        <color theme="5"/>
      </font>
      <fill>
        <patternFill patternType="none">
          <bgColor auto="1"/>
        </patternFill>
      </fill>
    </dxf>
    <dxf>
      <font>
        <b/>
        <i val="0"/>
        <color rgb="FFFF0000"/>
      </font>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rgb="FFFF0000"/>
      </font>
      <fill>
        <patternFill>
          <bgColor theme="5" tint="0.79998168889431442"/>
        </patternFill>
      </fill>
    </dxf>
    <dxf>
      <font>
        <b/>
        <i val="0"/>
        <color theme="9" tint="-0.24994659260841701"/>
      </font>
      <fill>
        <patternFill>
          <bgColor theme="9" tint="0.79998168889431442"/>
        </patternFill>
      </fill>
    </dxf>
    <dxf>
      <font>
        <b/>
        <i val="0"/>
        <color theme="5"/>
      </font>
    </dxf>
    <dxf>
      <font>
        <b/>
        <i val="0"/>
        <color rgb="FFFF0000"/>
      </font>
    </dxf>
    <dxf>
      <font>
        <b/>
        <i val="0"/>
        <color theme="5"/>
      </font>
    </dxf>
    <dxf>
      <font>
        <b/>
        <i val="0"/>
        <color rgb="FFFF0000"/>
      </font>
    </dxf>
    <dxf>
      <font>
        <b/>
        <i val="0"/>
        <color rgb="FFFF0000"/>
      </font>
    </dxf>
    <dxf>
      <font>
        <b/>
        <i val="0"/>
        <color rgb="FFFF0000"/>
      </font>
    </dxf>
  </dxfs>
  <tableStyles count="0" defaultTableStyle="TableStyleMedium2" defaultPivotStyle="PivotStyleLight16"/>
  <colors>
    <mruColors>
      <color rgb="FFCCFFCC"/>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AA3D1-0064-4748-BB0F-71F25D147BD1}">
  <sheetPr>
    <tabColor rgb="FFFFCCCC"/>
    <pageSetUpPr fitToPage="1"/>
  </sheetPr>
  <dimension ref="B1:I52"/>
  <sheetViews>
    <sheetView showGridLines="0" tabSelected="1" zoomScaleNormal="100" workbookViewId="0">
      <selection activeCell="C5" sqref="C5:D5"/>
    </sheetView>
  </sheetViews>
  <sheetFormatPr baseColWidth="10" defaultColWidth="39" defaultRowHeight="23.25" customHeight="1"/>
  <cols>
    <col min="1" max="1" width="6.625" style="1" customWidth="1"/>
    <col min="2" max="2" width="42.625" style="1" customWidth="1"/>
    <col min="3" max="3" width="23.375" style="1" customWidth="1"/>
    <col min="4" max="4" width="32.625" style="1" customWidth="1"/>
    <col min="5" max="16384" width="39" style="1"/>
  </cols>
  <sheetData>
    <row r="1" spans="2:9" ht="30">
      <c r="B1" s="182" t="s">
        <v>121</v>
      </c>
      <c r="C1" s="182"/>
      <c r="D1" s="182"/>
      <c r="E1" s="182"/>
    </row>
    <row r="2" spans="2:9" ht="30" customHeight="1">
      <c r="B2" s="176" t="s">
        <v>125</v>
      </c>
      <c r="C2" s="176"/>
      <c r="D2" s="176"/>
      <c r="E2" s="176"/>
    </row>
    <row r="3" spans="2:9" ht="30" customHeight="1">
      <c r="B3" s="177"/>
      <c r="C3" s="177"/>
      <c r="D3" s="177"/>
      <c r="E3" s="177"/>
    </row>
    <row r="4" spans="2:9" ht="3" customHeight="1">
      <c r="B4" s="181"/>
      <c r="C4" s="181"/>
      <c r="D4" s="181"/>
    </row>
    <row r="5" spans="2:9" ht="23.25" customHeight="1">
      <c r="B5" s="39" t="s">
        <v>76</v>
      </c>
      <c r="C5" s="178" t="s">
        <v>82</v>
      </c>
      <c r="D5" s="179"/>
    </row>
    <row r="6" spans="2:9" ht="23.25" customHeight="1">
      <c r="B6" s="39"/>
      <c r="C6" s="180" t="s">
        <v>120</v>
      </c>
      <c r="D6" s="180"/>
      <c r="F6" s="135"/>
      <c r="G6" s="136"/>
      <c r="H6" s="136"/>
      <c r="I6" s="136"/>
    </row>
    <row r="7" spans="2:9" ht="23.25" customHeight="1">
      <c r="B7" s="71" t="s">
        <v>72</v>
      </c>
      <c r="C7" s="72"/>
      <c r="D7" s="73"/>
      <c r="E7" s="10"/>
      <c r="F7" s="136"/>
      <c r="G7" s="136"/>
      <c r="H7" s="136"/>
      <c r="I7" s="136"/>
    </row>
    <row r="8" spans="2:9" ht="23.25" customHeight="1">
      <c r="B8" s="137" t="s">
        <v>53</v>
      </c>
      <c r="C8" s="138">
        <f>_xlfn.XLOOKUP(C5,Datenquelle!B4:B35,Datenquelle!C4:C35)</f>
        <v>17</v>
      </c>
      <c r="D8" s="185" t="s">
        <v>54</v>
      </c>
      <c r="E8" s="185"/>
      <c r="F8" s="136"/>
      <c r="G8" s="136"/>
      <c r="H8" s="136"/>
      <c r="I8" s="136"/>
    </row>
    <row r="9" spans="2:9" ht="23.25" customHeight="1">
      <c r="B9" s="82" t="str">
        <f>"Nachtzulage %"</f>
        <v>Nachtzulage %</v>
      </c>
      <c r="C9" s="90">
        <v>0.15</v>
      </c>
      <c r="D9" s="186" t="s">
        <v>145</v>
      </c>
      <c r="E9" s="186"/>
      <c r="F9" s="136"/>
      <c r="G9" s="136"/>
      <c r="H9" s="136"/>
      <c r="I9" s="136"/>
    </row>
    <row r="10" spans="2:9" ht="23.25" customHeight="1">
      <c r="B10" s="82" t="str">
        <f>"Sonntagszulage %"</f>
        <v>Sonntagszulage %</v>
      </c>
      <c r="C10" s="90">
        <v>0.25</v>
      </c>
      <c r="D10" s="186" t="s">
        <v>145</v>
      </c>
      <c r="E10" s="186"/>
    </row>
    <row r="11" spans="2:9" ht="23.25" customHeight="1">
      <c r="B11" s="82" t="str">
        <f>"Feiertagszulage %"</f>
        <v>Feiertagszulage %</v>
      </c>
      <c r="C11" s="90">
        <v>1</v>
      </c>
      <c r="D11" s="186" t="s">
        <v>145</v>
      </c>
      <c r="E11" s="186"/>
    </row>
    <row r="12" spans="2:9" ht="23.25" customHeight="1">
      <c r="B12" s="82" t="s">
        <v>94</v>
      </c>
      <c r="C12" s="91">
        <v>0.23</v>
      </c>
      <c r="D12" s="186" t="s">
        <v>145</v>
      </c>
      <c r="E12" s="186"/>
    </row>
    <row r="13" spans="2:9" ht="23.25" customHeight="1">
      <c r="B13" s="82" t="s">
        <v>95</v>
      </c>
      <c r="C13" s="91">
        <v>4.4999999999999998E-2</v>
      </c>
      <c r="D13" s="186" t="s">
        <v>145</v>
      </c>
      <c r="E13" s="186"/>
    </row>
    <row r="14" spans="2:9" ht="23.25" customHeight="1">
      <c r="B14" s="82" t="s">
        <v>36</v>
      </c>
      <c r="C14" s="91">
        <v>0</v>
      </c>
      <c r="D14" s="186" t="s">
        <v>148</v>
      </c>
      <c r="E14" s="186"/>
    </row>
    <row r="15" spans="2:9" ht="23.25" customHeight="1">
      <c r="B15" s="86" t="s">
        <v>133</v>
      </c>
      <c r="C15" s="93">
        <v>12.67</v>
      </c>
      <c r="D15" s="183" t="s">
        <v>146</v>
      </c>
      <c r="E15" s="183"/>
    </row>
    <row r="16" spans="2:9" ht="23.25" customHeight="1">
      <c r="B16" s="88" t="s">
        <v>3</v>
      </c>
      <c r="C16" s="94">
        <f>C15*C45/Datenquelle!$M$22</f>
        <v>8.5608108108108108E-2</v>
      </c>
      <c r="D16" s="184" t="s">
        <v>147</v>
      </c>
      <c r="E16" s="184"/>
    </row>
    <row r="18" spans="2:5" ht="23.25" customHeight="1">
      <c r="D18" s="5"/>
    </row>
    <row r="19" spans="2:5" ht="23.25" customHeight="1">
      <c r="B19" s="71" t="s">
        <v>75</v>
      </c>
      <c r="C19" s="75"/>
      <c r="D19" s="124"/>
      <c r="E19" s="10"/>
    </row>
    <row r="20" spans="2:5" ht="23.25" customHeight="1">
      <c r="B20" s="137" t="s">
        <v>0</v>
      </c>
      <c r="C20" s="139">
        <v>0.05</v>
      </c>
      <c r="D20" s="185" t="s">
        <v>149</v>
      </c>
      <c r="E20" s="185"/>
    </row>
    <row r="21" spans="2:5" ht="23.25" customHeight="1">
      <c r="B21" s="82" t="s">
        <v>123</v>
      </c>
      <c r="C21" s="91">
        <v>0.18</v>
      </c>
      <c r="D21" s="186" t="s">
        <v>150</v>
      </c>
      <c r="E21" s="186"/>
    </row>
    <row r="22" spans="2:5" ht="23.25" customHeight="1">
      <c r="B22" s="82" t="s">
        <v>4</v>
      </c>
      <c r="C22" s="91">
        <v>0.05</v>
      </c>
      <c r="D22" s="186" t="s">
        <v>151</v>
      </c>
      <c r="E22" s="186"/>
    </row>
    <row r="23" spans="2:5" ht="23.25" customHeight="1">
      <c r="B23" s="82" t="s">
        <v>1</v>
      </c>
      <c r="C23" s="100">
        <v>0.03</v>
      </c>
      <c r="D23" s="186" t="s">
        <v>115</v>
      </c>
      <c r="E23" s="186"/>
    </row>
    <row r="24" spans="2:5" ht="23.25" customHeight="1">
      <c r="B24" s="82" t="s">
        <v>2</v>
      </c>
      <c r="C24" s="100">
        <v>0.05</v>
      </c>
      <c r="D24" s="186" t="s">
        <v>115</v>
      </c>
      <c r="E24" s="186"/>
    </row>
    <row r="25" spans="2:5" ht="23.25" customHeight="1">
      <c r="B25" s="40"/>
      <c r="C25" s="57"/>
      <c r="D25" s="5"/>
    </row>
    <row r="26" spans="2:5" ht="23.25" customHeight="1">
      <c r="B26" s="71" t="s">
        <v>129</v>
      </c>
      <c r="C26" s="74"/>
      <c r="D26" s="124"/>
      <c r="E26" s="10"/>
    </row>
    <row r="27" spans="2:5" ht="23.25" customHeight="1">
      <c r="B27" s="137" t="s">
        <v>73</v>
      </c>
      <c r="C27" s="140">
        <v>8</v>
      </c>
      <c r="D27" s="185" t="s">
        <v>97</v>
      </c>
      <c r="E27" s="185"/>
    </row>
    <row r="28" spans="2:5" ht="23.25" customHeight="1">
      <c r="B28" s="82" t="s">
        <v>74</v>
      </c>
      <c r="C28" s="83">
        <v>5</v>
      </c>
      <c r="D28" s="186" t="s">
        <v>98</v>
      </c>
      <c r="E28" s="186"/>
    </row>
    <row r="29" spans="2:5" ht="23.25" customHeight="1">
      <c r="B29" s="82" t="s">
        <v>96</v>
      </c>
      <c r="C29" s="84">
        <f>Datenquelle!$M$19</f>
        <v>40</v>
      </c>
      <c r="D29" s="186" t="s">
        <v>137</v>
      </c>
      <c r="E29" s="186"/>
    </row>
    <row r="30" spans="2:5" ht="23.25" customHeight="1">
      <c r="B30" s="86" t="s">
        <v>135</v>
      </c>
      <c r="C30" s="146">
        <f>Datenquelle!M21</f>
        <v>173.33333333333334</v>
      </c>
      <c r="D30" s="145" t="s">
        <v>136</v>
      </c>
      <c r="E30" s="145"/>
    </row>
    <row r="31" spans="2:5" ht="23.25" customHeight="1">
      <c r="B31" s="86" t="s">
        <v>130</v>
      </c>
      <c r="C31" s="146">
        <f>Datenquelle!$M$20</f>
        <v>2080</v>
      </c>
      <c r="D31" s="145" t="s">
        <v>131</v>
      </c>
      <c r="E31" s="145"/>
    </row>
    <row r="32" spans="2:5" ht="23.25" customHeight="1">
      <c r="B32" s="86" t="s">
        <v>69</v>
      </c>
      <c r="C32" s="87">
        <v>31</v>
      </c>
      <c r="D32" s="183" t="s">
        <v>26</v>
      </c>
      <c r="E32" s="183"/>
    </row>
    <row r="33" spans="2:5" ht="23.25" customHeight="1">
      <c r="B33" s="88" t="s">
        <v>3</v>
      </c>
      <c r="C33" s="89">
        <f>Datenquelle!$F$34</f>
        <v>248</v>
      </c>
      <c r="D33" s="184" t="s">
        <v>103</v>
      </c>
      <c r="E33" s="184"/>
    </row>
    <row r="34" spans="2:5" ht="23.25" customHeight="1">
      <c r="B34" s="86" t="s">
        <v>70</v>
      </c>
      <c r="C34" s="87">
        <v>5</v>
      </c>
      <c r="D34" s="183" t="s">
        <v>26</v>
      </c>
      <c r="E34" s="183"/>
    </row>
    <row r="35" spans="2:5" ht="23.25" customHeight="1">
      <c r="B35" s="88" t="s">
        <v>3</v>
      </c>
      <c r="C35" s="89">
        <f>Datenquelle!$F$36</f>
        <v>40</v>
      </c>
      <c r="D35" s="184" t="s">
        <v>103</v>
      </c>
      <c r="E35" s="184"/>
    </row>
    <row r="36" spans="2:5" ht="23.25" customHeight="1">
      <c r="B36" s="86" t="s">
        <v>71</v>
      </c>
      <c r="C36" s="87">
        <v>2</v>
      </c>
      <c r="D36" s="183" t="s">
        <v>26</v>
      </c>
      <c r="E36" s="183"/>
    </row>
    <row r="37" spans="2:5" ht="23.25" customHeight="1">
      <c r="B37" s="88" t="s">
        <v>3</v>
      </c>
      <c r="C37" s="89">
        <f>Datenquelle!$F$30</f>
        <v>16</v>
      </c>
      <c r="D37" s="184" t="s">
        <v>103</v>
      </c>
      <c r="E37" s="184"/>
    </row>
    <row r="38" spans="2:5" ht="23.25" customHeight="1">
      <c r="B38" s="147" t="s">
        <v>41</v>
      </c>
      <c r="C38" s="89">
        <f>Datenquelle!$M$22</f>
        <v>1776</v>
      </c>
      <c r="D38" s="122" t="s">
        <v>132</v>
      </c>
      <c r="E38" s="122"/>
    </row>
    <row r="39" spans="2:5" ht="23.25" customHeight="1">
      <c r="B39" s="82" t="s">
        <v>34</v>
      </c>
      <c r="C39" s="85">
        <v>0</v>
      </c>
      <c r="D39" s="186" t="s">
        <v>139</v>
      </c>
      <c r="E39" s="186"/>
    </row>
    <row r="40" spans="2:5" ht="23.25" customHeight="1">
      <c r="B40" s="82" t="s">
        <v>35</v>
      </c>
      <c r="C40" s="85">
        <v>102.26</v>
      </c>
      <c r="D40" s="186" t="str">
        <f>" / Jahr (gemäß Tarifvertrag "&amp;Datenquelle!M38&amp;" €)"</f>
        <v xml:space="preserve"> / Jahr (gemäß Tarifvertrag 102,26 €)</v>
      </c>
      <c r="E40" s="186"/>
    </row>
    <row r="41" spans="2:5" ht="23.25" customHeight="1">
      <c r="D41" s="5"/>
    </row>
    <row r="42" spans="2:5" ht="23.25" customHeight="1">
      <c r="B42" s="71" t="s">
        <v>99</v>
      </c>
      <c r="C42" s="74"/>
      <c r="D42" s="124"/>
      <c r="E42" s="10"/>
    </row>
    <row r="43" spans="2:5" ht="23.25" customHeight="1">
      <c r="B43" s="40" t="s">
        <v>100</v>
      </c>
      <c r="C43" s="141">
        <f>Datenquelle!$M$8</f>
        <v>365</v>
      </c>
      <c r="D43" s="189" t="s">
        <v>26</v>
      </c>
      <c r="E43" s="189"/>
    </row>
    <row r="44" spans="2:5" ht="23.25" customHeight="1">
      <c r="B44" s="1" t="s">
        <v>101</v>
      </c>
      <c r="C44" s="97">
        <f>Datenquelle!$M$9</f>
        <v>52</v>
      </c>
      <c r="D44" s="188" t="s">
        <v>27</v>
      </c>
      <c r="E44" s="188"/>
    </row>
    <row r="45" spans="2:5" ht="23.25" customHeight="1">
      <c r="B45" s="29" t="s">
        <v>102</v>
      </c>
      <c r="C45" s="98">
        <f>Datenquelle!$M$10</f>
        <v>12</v>
      </c>
      <c r="D45" s="184" t="s">
        <v>28</v>
      </c>
      <c r="E45" s="184"/>
    </row>
    <row r="46" spans="2:5" ht="23.25" customHeight="1">
      <c r="B46" s="92" t="s">
        <v>107</v>
      </c>
      <c r="C46" s="96">
        <v>12</v>
      </c>
      <c r="D46" s="186" t="s">
        <v>26</v>
      </c>
      <c r="E46" s="186"/>
    </row>
    <row r="47" spans="2:5" ht="23.25" customHeight="1">
      <c r="B47" s="92" t="s">
        <v>104</v>
      </c>
      <c r="C47" s="95">
        <f>Datenquelle!$M$9</f>
        <v>52</v>
      </c>
      <c r="D47" s="186" t="s">
        <v>26</v>
      </c>
      <c r="E47" s="186"/>
    </row>
    <row r="48" spans="2:5" ht="23.25" customHeight="1">
      <c r="B48" s="92" t="s">
        <v>105</v>
      </c>
      <c r="C48" s="95">
        <f>Datenquelle!$M$9</f>
        <v>52</v>
      </c>
      <c r="D48" s="186" t="s">
        <v>26</v>
      </c>
      <c r="E48" s="186"/>
    </row>
    <row r="49" spans="2:5" ht="23.25" customHeight="1">
      <c r="B49" s="92" t="s">
        <v>106</v>
      </c>
      <c r="C49" s="95">
        <f>Datenquelle!$M$12</f>
        <v>249</v>
      </c>
      <c r="D49" s="186" t="s">
        <v>26</v>
      </c>
      <c r="E49" s="186"/>
    </row>
    <row r="50" spans="2:5" ht="23.25" customHeight="1">
      <c r="B50" s="92" t="s">
        <v>109</v>
      </c>
      <c r="C50" s="95">
        <f>Datenquelle!$M$13</f>
        <v>301</v>
      </c>
      <c r="D50" s="186" t="s">
        <v>26</v>
      </c>
      <c r="E50" s="186"/>
    </row>
    <row r="51" spans="2:5" ht="23.25" customHeight="1">
      <c r="B51" s="10"/>
      <c r="C51" s="10"/>
      <c r="D51" s="124"/>
      <c r="E51" s="10"/>
    </row>
    <row r="52" spans="2:5" ht="23.25" customHeight="1">
      <c r="B52" s="129" t="s">
        <v>5</v>
      </c>
      <c r="C52" s="130">
        <v>0.19</v>
      </c>
      <c r="D52" s="187"/>
      <c r="E52" s="187"/>
    </row>
  </sheetData>
  <sheetProtection algorithmName="SHA-512" hashValue="UaOftTJ/J7AK32EKLnQGnm0WxEnuvonL3pVcT+uewiaFhgEXj+ED6QzTN1GZ5zK+7hHAV5kQ1uQtUercaJoejQ==" saltValue="1+tuvYt7jtCU9JWqSIcXjQ==" spinCount="100000" sheet="1" objects="1" scenarios="1" selectLockedCells="1"/>
  <mergeCells count="39">
    <mergeCell ref="D52:E52"/>
    <mergeCell ref="D50:E50"/>
    <mergeCell ref="D44:E44"/>
    <mergeCell ref="D43:E43"/>
    <mergeCell ref="D49:E49"/>
    <mergeCell ref="D48:E48"/>
    <mergeCell ref="D47:E47"/>
    <mergeCell ref="D46:E46"/>
    <mergeCell ref="D45:E45"/>
    <mergeCell ref="D22:E22"/>
    <mergeCell ref="D23:E23"/>
    <mergeCell ref="D24:E24"/>
    <mergeCell ref="D27:E27"/>
    <mergeCell ref="D40:E40"/>
    <mergeCell ref="D39:E39"/>
    <mergeCell ref="D37:E37"/>
    <mergeCell ref="D36:E36"/>
    <mergeCell ref="D35:E35"/>
    <mergeCell ref="D34:E34"/>
    <mergeCell ref="D33:E33"/>
    <mergeCell ref="D32:E32"/>
    <mergeCell ref="D29:E29"/>
    <mergeCell ref="D28:E28"/>
    <mergeCell ref="D15:E15"/>
    <mergeCell ref="D16:E16"/>
    <mergeCell ref="D8:E8"/>
    <mergeCell ref="D20:E20"/>
    <mergeCell ref="D21:E21"/>
    <mergeCell ref="D9:E9"/>
    <mergeCell ref="D10:E10"/>
    <mergeCell ref="D11:E11"/>
    <mergeCell ref="D12:E12"/>
    <mergeCell ref="D13:E13"/>
    <mergeCell ref="D14:E14"/>
    <mergeCell ref="B2:E3"/>
    <mergeCell ref="C5:D5"/>
    <mergeCell ref="C6:D6"/>
    <mergeCell ref="B4:D4"/>
    <mergeCell ref="B1:E1"/>
  </mergeCells>
  <pageMargins left="0.7" right="0.7" top="0.78740157499999996" bottom="0.78740157499999996" header="0.3" footer="0.3"/>
  <pageSetup paperSize="9" scale="55" orientation="portrait" r:id="rId1"/>
  <ignoredErrors>
    <ignoredError sqref="C15" unlockedFormula="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A7D84E4-4191-400A-B612-113F6221B097}">
          <x14:formula1>
            <xm:f>Datenquelle!$B$4:$B$35</xm:f>
          </x14:formula1>
          <xm:sqref>C5:D5</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0D692-A6DC-4DC1-8C8E-D4E01398F6B9}">
  <sheetPr>
    <tabColor rgb="FFCCFFCC"/>
    <pageSetUpPr fitToPage="1"/>
  </sheetPr>
  <dimension ref="B1:L55"/>
  <sheetViews>
    <sheetView showGridLines="0" topLeftCell="B1" zoomScaleNormal="100" workbookViewId="0">
      <selection activeCell="C39" sqref="C39"/>
    </sheetView>
  </sheetViews>
  <sheetFormatPr baseColWidth="10" defaultColWidth="11.375" defaultRowHeight="29.25" customHeight="1"/>
  <cols>
    <col min="1" max="1" width="6.375" style="1" customWidth="1"/>
    <col min="2" max="2" width="41.75" style="1" customWidth="1"/>
    <col min="3" max="3" width="15.625" style="1" customWidth="1"/>
    <col min="4" max="7" width="24.625" style="1" customWidth="1"/>
    <col min="8" max="8" width="16.375" style="8" bestFit="1" customWidth="1"/>
    <col min="9" max="9" width="14.875" style="1" customWidth="1"/>
    <col min="10" max="10" width="40.375" style="1" customWidth="1"/>
    <col min="11" max="11" width="24.625" style="1" customWidth="1"/>
    <col min="12" max="16384" width="11.375" style="1"/>
  </cols>
  <sheetData>
    <row r="1" spans="2:12" s="14" customFormat="1" ht="30">
      <c r="B1" s="13" t="s">
        <v>122</v>
      </c>
      <c r="C1" s="13"/>
      <c r="F1" s="3" t="s">
        <v>140</v>
      </c>
      <c r="G1" s="175">
        <v>46252</v>
      </c>
      <c r="I1" s="174"/>
      <c r="J1" s="174"/>
    </row>
    <row r="3" spans="2:12" ht="29.25" customHeight="1" thickBot="1">
      <c r="B3" s="7" t="str">
        <f>Vorgaben!C5</f>
        <v>SMA 17,00/Std.</v>
      </c>
      <c r="C3" s="78" t="s">
        <v>79</v>
      </c>
      <c r="D3" s="79" t="s">
        <v>31</v>
      </c>
      <c r="E3" s="80" t="str">
        <f>"Nacht (+"&amp;Vorgaben!C9*100&amp;"%)"</f>
        <v>Nacht (+15%)</v>
      </c>
      <c r="F3" s="80" t="str">
        <f>"Sonntag (+"&amp;Vorgaben!C10*100&amp;"%)"</f>
        <v>Sonntag (+25%)</v>
      </c>
      <c r="G3" s="80" t="str">
        <f>"Feiertag (+"&amp;Vorgaben!C11*100&amp;"%)"</f>
        <v>Feiertag (+100%)</v>
      </c>
      <c r="H3" s="194" t="s">
        <v>37</v>
      </c>
      <c r="I3" s="195"/>
      <c r="J3" s="195"/>
    </row>
    <row r="4" spans="2:12" ht="29.25" customHeight="1">
      <c r="B4" s="66" t="s">
        <v>78</v>
      </c>
      <c r="C4" s="66"/>
      <c r="D4" s="67">
        <f>Vorgaben!$C$8</f>
        <v>17</v>
      </c>
      <c r="E4" s="67">
        <f>Vorgaben!$C$8</f>
        <v>17</v>
      </c>
      <c r="F4" s="67">
        <f>Vorgaben!$C$8</f>
        <v>17</v>
      </c>
      <c r="G4" s="67">
        <f>Vorgaben!$C$8</f>
        <v>17</v>
      </c>
      <c r="H4" s="77" t="s">
        <v>42</v>
      </c>
      <c r="I4" s="68"/>
      <c r="J4" s="68"/>
    </row>
    <row r="5" spans="2:12" ht="29.25" customHeight="1">
      <c r="B5" s="1" t="str">
        <f>"+  Zulagen (Nacht, Sonntage und Feiertage)"</f>
        <v>+  Zulagen (Nacht, Sonntage und Feiertage)</v>
      </c>
      <c r="C5" s="41"/>
      <c r="D5" s="76"/>
      <c r="E5" s="76">
        <f>ROUND(E$4*Datenquelle!$H8,2)</f>
        <v>2.5499999999999998</v>
      </c>
      <c r="F5" s="76">
        <f>ROUND(F$4*Datenquelle!$H6,2)</f>
        <v>4.25</v>
      </c>
      <c r="G5" s="76">
        <f>ROUND(G$4*Datenquelle!$H4,2)</f>
        <v>17</v>
      </c>
      <c r="H5" s="56" t="s">
        <v>77</v>
      </c>
    </row>
    <row r="6" spans="2:12" ht="29.25" customHeight="1">
      <c r="B6" s="1" t="str">
        <f>"+  AGA Paushale ("&amp;Vorgaben!C12*100&amp;"%)"</f>
        <v>+  AGA Paushale (23%)</v>
      </c>
      <c r="D6" s="9">
        <f>ROUND(D$4*Datenquelle!$H$12,2)</f>
        <v>3.91</v>
      </c>
      <c r="E6" s="9">
        <f>ROUND(E$4*Datenquelle!$H$12,2)</f>
        <v>3.91</v>
      </c>
      <c r="F6" s="9">
        <f>ROUND(F$4*Datenquelle!$H$12,2)</f>
        <v>3.91</v>
      </c>
      <c r="G6" s="9">
        <f>ROUND(G$4*Datenquelle!$H$12,2)</f>
        <v>3.91</v>
      </c>
      <c r="H6" s="56" t="s">
        <v>77</v>
      </c>
    </row>
    <row r="7" spans="2:12" ht="29.25" customHeight="1">
      <c r="B7" s="1" t="str">
        <f>"+  BG Beitrag ("&amp;Vorgaben!C13*100&amp;"%)"</f>
        <v>+  BG Beitrag (4,5%)</v>
      </c>
      <c r="D7" s="9">
        <f>ROUND(D$4*Datenquelle!$H$16,2)</f>
        <v>0.77</v>
      </c>
      <c r="E7" s="9">
        <f>ROUND(E$4*Datenquelle!$H$16,2)</f>
        <v>0.77</v>
      </c>
      <c r="F7" s="9">
        <f>ROUND(F$4*Datenquelle!$H$16,2)</f>
        <v>0.77</v>
      </c>
      <c r="G7" s="9">
        <f>ROUND(G$4*Datenquelle!$H$16,2)</f>
        <v>0.77</v>
      </c>
      <c r="H7" s="56" t="s">
        <v>77</v>
      </c>
    </row>
    <row r="8" spans="2:12" ht="29.25" customHeight="1">
      <c r="B8" s="206" t="str">
        <f>"+  Gefahrenzulage ("&amp;Vorgaben!$C$14*100&amp;"%)"</f>
        <v>+  Gefahrenzulage (0%)</v>
      </c>
      <c r="C8" s="206"/>
      <c r="D8" s="9">
        <f>ROUND(D$4*Datenquelle!$F$25,2)</f>
        <v>0</v>
      </c>
      <c r="E8" s="9">
        <f>ROUND(E$4*Datenquelle!$F$25,2)</f>
        <v>0</v>
      </c>
      <c r="F8" s="9">
        <f>ROUND(F$4*Datenquelle!$F$25,2)</f>
        <v>0</v>
      </c>
      <c r="G8" s="9">
        <f>ROUND(G$4*Datenquelle!$F$25,2)</f>
        <v>0</v>
      </c>
      <c r="H8" s="207" t="s">
        <v>141</v>
      </c>
      <c r="I8" s="206"/>
      <c r="J8" s="206"/>
    </row>
    <row r="9" spans="2:12" ht="29.25" customHeight="1">
      <c r="B9" s="1" t="str">
        <f>"+  AK Beitrag (Saarland)"</f>
        <v>+  AK Beitrag (Saarland)</v>
      </c>
      <c r="D9" s="9">
        <f>Datenquelle!$F$22</f>
        <v>8.5608108108108108E-2</v>
      </c>
      <c r="E9" s="9">
        <f>Datenquelle!$F$22</f>
        <v>8.5608108108108108E-2</v>
      </c>
      <c r="F9" s="9">
        <f>Datenquelle!$F$22</f>
        <v>8.5608108108108108E-2</v>
      </c>
      <c r="G9" s="9">
        <f>Datenquelle!$F$22</f>
        <v>8.5608108108108108E-2</v>
      </c>
      <c r="H9" s="56" t="s">
        <v>144</v>
      </c>
    </row>
    <row r="10" spans="2:12" ht="29.25" customHeight="1">
      <c r="B10" s="63" t="str">
        <f>"= Lohnkosten/Std."</f>
        <v>= Lohnkosten/Std.</v>
      </c>
      <c r="C10" s="63"/>
      <c r="D10" s="64">
        <f>ROUND(SUM(D$4:D$9),2)</f>
        <v>21.77</v>
      </c>
      <c r="E10" s="64">
        <f>ROUND(SUM(E$4:E$9),2)</f>
        <v>24.32</v>
      </c>
      <c r="F10" s="64">
        <f>ROUND(SUM(F$4:F$9),2)</f>
        <v>26.02</v>
      </c>
      <c r="G10" s="64">
        <f>ROUND(SUM(G$4:G$9),2)</f>
        <v>38.770000000000003</v>
      </c>
      <c r="H10" s="62">
        <f>Datenquelle!M20</f>
        <v>2080</v>
      </c>
      <c r="I10" s="125" t="s">
        <v>40</v>
      </c>
      <c r="J10" s="47"/>
    </row>
    <row r="11" spans="2:12" ht="29.25" customHeight="1">
      <c r="B11" s="1" t="str">
        <f>"+  Bezahlter Urlaub ("&amp;Datenquelle!F33&amp;" Tage/Jahr)"</f>
        <v>+  Bezahlter Urlaub (31 Tage/Jahr)</v>
      </c>
      <c r="D11" s="9">
        <f>ROUND((((D$10*$H$10/$H$14)-D$10)*$H11)/SUM($H$11:$H$13),2)</f>
        <v>3.04</v>
      </c>
      <c r="E11" s="9">
        <f t="shared" ref="E11:G13" si="0">ROUND((((E$10*$H$10/$H$14)-E$10)*$H11)/SUM($H$11:$H$13),2)</f>
        <v>3.4</v>
      </c>
      <c r="F11" s="9">
        <f t="shared" si="0"/>
        <v>3.63</v>
      </c>
      <c r="G11" s="9">
        <f t="shared" si="0"/>
        <v>5.41</v>
      </c>
      <c r="H11" s="59">
        <f>Datenquelle!F34</f>
        <v>248</v>
      </c>
      <c r="I11" s="126" t="str">
        <f>"- Bezahlter Urlaub Std./JAHR"</f>
        <v>- Bezahlter Urlaub Std./JAHR</v>
      </c>
      <c r="K11" s="2"/>
    </row>
    <row r="12" spans="2:12" ht="29.25" customHeight="1">
      <c r="B12" s="1" t="str">
        <f>"+  Sonderurlaub ("&amp;Datenquelle!$F$35&amp;" Tage/Jahr)"</f>
        <v>+  Sonderurlaub (5 Tage/Jahr)</v>
      </c>
      <c r="D12" s="9">
        <f>ROUND((((D$10*$H$10/$H$14)-D$10)*$H12)/SUM($H$11:$H$13),2)</f>
        <v>0.49</v>
      </c>
      <c r="E12" s="9">
        <f t="shared" si="0"/>
        <v>0.55000000000000004</v>
      </c>
      <c r="F12" s="9">
        <f t="shared" si="0"/>
        <v>0.59</v>
      </c>
      <c r="G12" s="9">
        <f t="shared" si="0"/>
        <v>0.87</v>
      </c>
      <c r="H12" s="59">
        <f>Datenquelle!F36</f>
        <v>40</v>
      </c>
      <c r="I12" s="126" t="str">
        <f>"- Bezahlter Sonderurlaub Std./Jahr"</f>
        <v>- Bezahlter Sonderurlaub Std./Jahr</v>
      </c>
      <c r="K12" s="2"/>
      <c r="L12" s="2"/>
    </row>
    <row r="13" spans="2:12" ht="29.25" customHeight="1">
      <c r="B13" s="10" t="str">
        <f>"+  Bezahlte Fortbildungszeiten ("&amp;Datenquelle!F29&amp;" Tage/Jahr)"</f>
        <v>+  Bezahlte Fortbildungszeiten (2 Tage/Jahr)</v>
      </c>
      <c r="C13" s="10"/>
      <c r="D13" s="17">
        <f>ROUND((((D$10*$H$10/$H$14)-D$10)*$H13)/SUM($H$11:$H$13),2)</f>
        <v>0.2</v>
      </c>
      <c r="E13" s="17">
        <f t="shared" si="0"/>
        <v>0.22</v>
      </c>
      <c r="F13" s="17">
        <f t="shared" si="0"/>
        <v>0.23</v>
      </c>
      <c r="G13" s="17">
        <f t="shared" si="0"/>
        <v>0.35</v>
      </c>
      <c r="H13" s="65">
        <f>Datenquelle!F30</f>
        <v>16</v>
      </c>
      <c r="I13" s="127" t="str">
        <f>"- Bezahlte Fortbildungen Std./Jahr"</f>
        <v>- Bezahlte Fortbildungen Std./Jahr</v>
      </c>
      <c r="J13" s="10"/>
    </row>
    <row r="14" spans="2:12" ht="29.25" customHeight="1">
      <c r="B14" s="60" t="str">
        <f>"=  "</f>
        <v xml:space="preserve">=  </v>
      </c>
      <c r="C14" s="60"/>
      <c r="D14" s="61">
        <f>ROUND(SUM(D$10:D$13),2)</f>
        <v>25.5</v>
      </c>
      <c r="E14" s="61">
        <f t="shared" ref="E14:G14" si="1">ROUND(SUM(E$10:E$13),2)</f>
        <v>28.49</v>
      </c>
      <c r="F14" s="61">
        <f t="shared" si="1"/>
        <v>30.47</v>
      </c>
      <c r="G14" s="61">
        <f t="shared" si="1"/>
        <v>45.4</v>
      </c>
      <c r="H14" s="62">
        <f>Datenquelle!M22</f>
        <v>1776</v>
      </c>
      <c r="I14" s="128" t="str">
        <f>"= Produktivstunden/Jahr"</f>
        <v>= Produktivstunden/Jahr</v>
      </c>
      <c r="J14" s="47"/>
    </row>
    <row r="15" spans="2:12" ht="29.25" customHeight="1">
      <c r="B15" s="20" t="str">
        <f>"+  Krankenquote ("&amp;Vorgaben!C20*100&amp;"%)"</f>
        <v>+  Krankenquote (5%)</v>
      </c>
      <c r="C15" s="20"/>
      <c r="D15" s="31">
        <f>ROUND(D$14*Datenquelle!$F$39,2)</f>
        <v>1.28</v>
      </c>
      <c r="E15" s="31">
        <f>ROUND(E$14*Datenquelle!$F$39,2)</f>
        <v>1.42</v>
      </c>
      <c r="F15" s="31">
        <f>ROUND(F$14*Datenquelle!$F$39,2)</f>
        <v>1.52</v>
      </c>
      <c r="G15" s="31">
        <f>ROUND(G$14*Datenquelle!$F$39,2)</f>
        <v>2.27</v>
      </c>
      <c r="H15" s="19"/>
      <c r="I15" s="34"/>
      <c r="J15" s="20"/>
    </row>
    <row r="16" spans="2:12" ht="29.25" customHeight="1">
      <c r="B16" s="15" t="str">
        <f>"=  "</f>
        <v xml:space="preserve">=  </v>
      </c>
      <c r="C16" s="15"/>
      <c r="D16" s="9">
        <f>ROUND(SUM(D$14:D$15),2)</f>
        <v>26.78</v>
      </c>
      <c r="E16" s="9">
        <f t="shared" ref="E16:G16" si="2">ROUND(SUM(E$14:E$15),2)</f>
        <v>29.91</v>
      </c>
      <c r="F16" s="9">
        <f t="shared" si="2"/>
        <v>31.99</v>
      </c>
      <c r="G16" s="9">
        <f t="shared" si="2"/>
        <v>47.67</v>
      </c>
      <c r="H16" s="37"/>
      <c r="I16" s="38"/>
    </row>
    <row r="17" spans="2:10" ht="29.25" customHeight="1">
      <c r="B17" s="1" t="str">
        <f>"+  Urlaubsgeld ("&amp;TEXT(Vorgaben!C39,"#.##0,00 €")&amp;"/Jahr)"</f>
        <v>+  Urlaubsgeld (0,00 €/Jahr)</v>
      </c>
      <c r="D17" s="9">
        <f>ROUND(Vorgaben!$C$39/$H$14,2)</f>
        <v>0</v>
      </c>
      <c r="E17" s="9">
        <f>ROUND(Vorgaben!$C$39/$H$14,2)</f>
        <v>0</v>
      </c>
      <c r="F17" s="9">
        <f>ROUND(Vorgaben!$C$39/$H$14,2)</f>
        <v>0</v>
      </c>
      <c r="G17" s="9">
        <f>ROUND(Vorgaben!$C$39/$H$14,2)</f>
        <v>0</v>
      </c>
      <c r="H17" s="196" t="s">
        <v>142</v>
      </c>
      <c r="I17" s="197"/>
      <c r="J17" s="197"/>
    </row>
    <row r="18" spans="2:10" ht="29.25" customHeight="1">
      <c r="B18" s="1" t="str">
        <f>"+  AGA Pauschale ("&amp;Vorgaben!$C$12*100&amp;"%) für Urlaubsgeld"</f>
        <v>+  AGA Pauschale (23%) für Urlaubsgeld</v>
      </c>
      <c r="D18" s="9">
        <f>IF(D$17=0,0,IF(ROUND((Vorgaben!$C$39/$H$14)*Datenquelle!$H$12,2)&lt;0.01,0.01,ROUND((Vorgaben!$C$39/$H$14)*Datenquelle!$H$12,2)))</f>
        <v>0</v>
      </c>
      <c r="E18" s="9">
        <f>IF(E$17=0,0,IF(ROUND((Vorgaben!$C$39/$H$14)*Datenquelle!$H$12,2)&lt;0.01,0.01,ROUND((Vorgaben!$C$39/$H$14)*Datenquelle!$H$12,2)))</f>
        <v>0</v>
      </c>
      <c r="F18" s="9">
        <f>IF(F$17=0,0,IF(ROUND((Vorgaben!$C$39/$H$14)*Datenquelle!$H$12,2)&lt;0.01,0.01,ROUND((Vorgaben!$C$39/$H$14)*Datenquelle!$H$12,2)))</f>
        <v>0</v>
      </c>
      <c r="G18" s="9">
        <f>IF(G$17=0,0,IF(ROUND((Vorgaben!$C$39/$H$14)*Datenquelle!$H$12,2)&lt;0.01,0.01,ROUND((Vorgaben!$C$39/$H$14)*Datenquelle!$H$12,2)))</f>
        <v>0</v>
      </c>
      <c r="H18" s="150"/>
      <c r="I18" s="148"/>
      <c r="J18" s="148"/>
    </row>
    <row r="19" spans="2:10" ht="29.25" customHeight="1">
      <c r="B19" s="29" t="str">
        <f>"+  BG Beitrag ("&amp;Vorgaben!$C$13*100&amp;"%) für Urlaubsgeld"</f>
        <v>+  BG Beitrag (4,5%) für Urlaubsgeld</v>
      </c>
      <c r="C19" s="29"/>
      <c r="D19" s="30">
        <f>IF(D$17=0,0,IF(ROUND((Vorgaben!$C$39/$H$14)*Datenquelle!$H$16,2)&lt;0.01,0.01,ROUND((Vorgaben!$C$39/$H$14)*Datenquelle!$H$16,2)))</f>
        <v>0</v>
      </c>
      <c r="E19" s="30">
        <f>IF(E$17=0,0,IF(ROUND((Vorgaben!$C$39/$H$14)*Datenquelle!$H$12,2)&lt;0.01,0.01,ROUND((Vorgaben!$C$39/$H$14)*Datenquelle!$H$12,2)))</f>
        <v>0</v>
      </c>
      <c r="F19" s="30">
        <f>IF(F$17=0,0,IF(ROUND((Vorgaben!$C$39/$H$14)*Datenquelle!$H$12,2)&lt;0.01,0.01,ROUND((Vorgaben!$C$39/$H$14)*Datenquelle!$H$12,2)))</f>
        <v>0</v>
      </c>
      <c r="G19" s="30">
        <f>IF(G$17=0,0,IF(ROUND((Vorgaben!$C$39/$H$14)*Datenquelle!$H$12,2)&lt;0.01,0.01,ROUND((Vorgaben!$C$39/$H$14)*Datenquelle!$H$12,2)))</f>
        <v>0</v>
      </c>
      <c r="H19" s="151"/>
      <c r="I19" s="152"/>
      <c r="J19" s="152"/>
    </row>
    <row r="20" spans="2:10" ht="29.25" customHeight="1">
      <c r="B20" s="15" t="str">
        <f>"=  "</f>
        <v xml:space="preserve">=  </v>
      </c>
      <c r="C20" s="15"/>
      <c r="D20" s="9">
        <f>ROUND(SUM(D$16:D$19),2)</f>
        <v>26.78</v>
      </c>
      <c r="E20" s="9">
        <f t="shared" ref="E20:G20" si="3">ROUND(SUM(E$16:E$19),2)</f>
        <v>29.91</v>
      </c>
      <c r="F20" s="9">
        <f t="shared" si="3"/>
        <v>31.99</v>
      </c>
      <c r="G20" s="9">
        <f t="shared" si="3"/>
        <v>47.67</v>
      </c>
      <c r="H20" s="37"/>
      <c r="I20" s="38"/>
      <c r="J20" s="12"/>
    </row>
    <row r="21" spans="2:10" ht="29.25" customHeight="1">
      <c r="B21" s="1" t="str">
        <f>"+  Weihnachtsgeld ("&amp;TEXT(Vorgaben!C40,"#.##0,00 €")&amp;"/Jahr)"</f>
        <v>+  Weihnachtsgeld (102,26 €/Jahr)</v>
      </c>
      <c r="D21" s="149">
        <f>ROUND(Vorgaben!$C$40/$H$14,2)</f>
        <v>0.06</v>
      </c>
      <c r="E21" s="149">
        <f>ROUND(Vorgaben!$C$40/$H$14,2)</f>
        <v>0.06</v>
      </c>
      <c r="F21" s="149">
        <f>ROUND(Vorgaben!$C$40/$H$14,2)</f>
        <v>0.06</v>
      </c>
      <c r="G21" s="149">
        <f>ROUND(Vorgaben!$C$40/$H$14,2)</f>
        <v>0.06</v>
      </c>
      <c r="H21" s="196" t="s">
        <v>143</v>
      </c>
      <c r="I21" s="197"/>
      <c r="J21" s="197"/>
    </row>
    <row r="22" spans="2:10" ht="29.25" customHeight="1">
      <c r="B22" s="1" t="str">
        <f>"+  AGA Pauschale ("&amp;Vorgaben!$C$12*100&amp;"%) für Weihnachtsgeld"</f>
        <v>+  AGA Pauschale (23%) für Weihnachtsgeld</v>
      </c>
      <c r="D22" s="9">
        <f>IF(D$21=0,0,IF(ROUND((Vorgaben!$C$40/$H$14)*Datenquelle!$H$12,2)&lt;0.01,0.01,ROUND((Vorgaben!$C$40/$H$14)*Datenquelle!$H$12,2)))</f>
        <v>0.01</v>
      </c>
      <c r="E22" s="9">
        <f>IF(E$21=0,0,IF(ROUND((Vorgaben!$C$40/$H$14)*Datenquelle!$H$12,2)&lt;0.01,0.01,ROUND((Vorgaben!$C$40/$H$14)*Datenquelle!$H$12,2)))</f>
        <v>0.01</v>
      </c>
      <c r="F22" s="9">
        <f>IF(F$21=0,0,IF(ROUND((Vorgaben!$C$40/$H$14)*Datenquelle!$H$12,2)&lt;0.01,0.01,ROUND((Vorgaben!$C$40/$H$14)*Datenquelle!$H$12,2)))</f>
        <v>0.01</v>
      </c>
      <c r="G22" s="9">
        <f>IF(G$21=0,0,IF(ROUND((Vorgaben!$C$40/$H$14)*Datenquelle!$H$12,2)&lt;0.01,0.01,ROUND((Vorgaben!$C$40/$H$14)*Datenquelle!$H$12,2)))</f>
        <v>0.01</v>
      </c>
      <c r="H22" s="150"/>
      <c r="I22" s="148"/>
      <c r="J22" s="148"/>
    </row>
    <row r="23" spans="2:10" ht="29.25" customHeight="1">
      <c r="B23" s="29" t="str">
        <f>"+  BG Beitrag ("&amp;Vorgaben!$C$13*100&amp;"%) für Weihnachtsgeld"</f>
        <v>+  BG Beitrag (4,5%) für Weihnachtsgeld</v>
      </c>
      <c r="C23" s="29"/>
      <c r="D23" s="30">
        <f>IF(D$21=0,0,IF(ROUND((Vorgaben!$C$40/$H$14)*Datenquelle!$H$16,2)&lt;0.01,0.01,ROUND((Vorgaben!$C$40/$H$14)*Datenquelle!$H$16,2)))</f>
        <v>0.01</v>
      </c>
      <c r="E23" s="30">
        <f>IF(E$21=0,0,IF(ROUND((Vorgaben!$C$40/$H$14)*Datenquelle!$H$16,2)&lt;0.01,0.01,ROUND((Vorgaben!$C$40/$H$14)*Datenquelle!$H$16,2)))</f>
        <v>0.01</v>
      </c>
      <c r="F23" s="30">
        <f>IF(F$21=0,0,IF(ROUND((Vorgaben!$C$40/$H$14)*Datenquelle!$H$16,2)&lt;0.01,0.01,ROUND((Vorgaben!$C$40/$H$14)*Datenquelle!$H$16,2)))</f>
        <v>0.01</v>
      </c>
      <c r="G23" s="30">
        <f>IF(G$21=0,0,IF(ROUND((Vorgaben!$C$40/$H$14)*Datenquelle!$H$16,2)&lt;0.01,0.01,ROUND((Vorgaben!$C$40/$H$14)*Datenquelle!$H$16,2)))</f>
        <v>0.01</v>
      </c>
      <c r="H23" s="153"/>
      <c r="I23" s="154"/>
      <c r="J23" s="154"/>
    </row>
    <row r="24" spans="2:10" ht="29.25" customHeight="1">
      <c r="B24" s="23" t="str">
        <f>"= Personalkosten/Std."</f>
        <v>= Personalkosten/Std.</v>
      </c>
      <c r="C24" s="23"/>
      <c r="D24" s="24">
        <f>ROUND(SUM(D$20:D$23),2)</f>
        <v>26.86</v>
      </c>
      <c r="E24" s="24">
        <f t="shared" ref="E24:G24" si="4">ROUND(SUM(E$20:E$23),2)</f>
        <v>29.99</v>
      </c>
      <c r="F24" s="24">
        <f t="shared" si="4"/>
        <v>32.07</v>
      </c>
      <c r="G24" s="24">
        <f t="shared" si="4"/>
        <v>47.75</v>
      </c>
      <c r="H24" s="160" t="s">
        <v>46</v>
      </c>
      <c r="I24" s="198" t="s">
        <v>117</v>
      </c>
      <c r="J24" s="198"/>
    </row>
    <row r="25" spans="2:10" ht="29.25" customHeight="1">
      <c r="B25" s="10" t="str">
        <f>"+  Gemeinkostenzuschlag ("&amp;Vorgaben!C21*100&amp;"%)"</f>
        <v>+  Gemeinkostenzuschlag (18%)</v>
      </c>
      <c r="C25" s="10"/>
      <c r="D25" s="17">
        <f>ROUND(D$24*Datenquelle!$O$25,2)</f>
        <v>4.83</v>
      </c>
      <c r="E25" s="17">
        <f>ROUND(E$24*Datenquelle!$O$25,2)</f>
        <v>5.4</v>
      </c>
      <c r="F25" s="17">
        <f>ROUND(F$24*Datenquelle!$O$25,2)</f>
        <v>5.77</v>
      </c>
      <c r="G25" s="17">
        <f>ROUND(G$24*Datenquelle!$O$25,2)</f>
        <v>8.6</v>
      </c>
      <c r="H25" s="18"/>
      <c r="I25" s="131"/>
      <c r="J25" s="131"/>
    </row>
    <row r="26" spans="2:10" ht="29.25" customHeight="1">
      <c r="B26" s="23" t="str">
        <f>"= Selbstkosten/Std."</f>
        <v>= Selbstkosten/Std.</v>
      </c>
      <c r="C26" s="23"/>
      <c r="D26" s="24">
        <f>ROUND(SUM(D$24:D$25),2)</f>
        <v>31.69</v>
      </c>
      <c r="E26" s="24">
        <f t="shared" ref="E26:G26" si="5">ROUND(SUM(E$24:E$25),2)</f>
        <v>35.39</v>
      </c>
      <c r="F26" s="24">
        <f t="shared" si="5"/>
        <v>37.840000000000003</v>
      </c>
      <c r="G26" s="24">
        <f t="shared" si="5"/>
        <v>56.35</v>
      </c>
      <c r="H26" s="160" t="s">
        <v>47</v>
      </c>
      <c r="I26" s="199" t="s">
        <v>116</v>
      </c>
      <c r="J26" s="199"/>
    </row>
    <row r="27" spans="2:10" ht="29.25" customHeight="1">
      <c r="B27" s="20" t="str">
        <f>"+  Gewinn ("&amp;Vorgaben!C22*100&amp;"%)"</f>
        <v>+  Gewinn (5%)</v>
      </c>
      <c r="C27" s="20"/>
      <c r="D27" s="31">
        <f>ROUND(D$26*Datenquelle!$O$29,2)</f>
        <v>1.58</v>
      </c>
      <c r="E27" s="31">
        <f>ROUND(E$26*Datenquelle!$O$29,2)</f>
        <v>1.77</v>
      </c>
      <c r="F27" s="31">
        <f>ROUND(F$26*Datenquelle!$O$29,2)</f>
        <v>1.89</v>
      </c>
      <c r="G27" s="31">
        <f>ROUND(G$26*Datenquelle!$O$29,2)</f>
        <v>2.82</v>
      </c>
      <c r="H27" s="19"/>
      <c r="I27" s="20"/>
      <c r="J27" s="20"/>
    </row>
    <row r="28" spans="2:10" ht="29.25" customHeight="1">
      <c r="B28" s="1" t="str">
        <f>"= "</f>
        <v xml:space="preserve">= </v>
      </c>
      <c r="D28" s="16">
        <f>ROUND(SUM(D$26:D$27),2)</f>
        <v>33.270000000000003</v>
      </c>
      <c r="E28" s="16">
        <f t="shared" ref="E28:G28" si="6">ROUND(SUM(E$26:E$27),2)</f>
        <v>37.159999999999997</v>
      </c>
      <c r="F28" s="16">
        <f t="shared" si="6"/>
        <v>39.729999999999997</v>
      </c>
      <c r="G28" s="16">
        <f t="shared" si="6"/>
        <v>59.17</v>
      </c>
      <c r="H28" s="158">
        <f>100%-Datenquelle!M32</f>
        <v>0.97</v>
      </c>
    </row>
    <row r="29" spans="2:10" ht="29.25" customHeight="1">
      <c r="B29" s="155" t="str">
        <f>"+  Skonto | "&amp;Vorgaben!C23*100&amp;"% aus Kundensicht (im Hundert)"</f>
        <v>+  Skonto | 3% aus Kundensicht (im Hundert)</v>
      </c>
      <c r="C29" s="155"/>
      <c r="D29" s="156">
        <f>ROUND(($H$29*100)*D$28/($H$28*100),2)</f>
        <v>1.03</v>
      </c>
      <c r="E29" s="156">
        <f t="shared" ref="E29:G29" si="7">ROUND(($H$29*100)*E$28/($H$28*100),2)</f>
        <v>1.1499999999999999</v>
      </c>
      <c r="F29" s="156">
        <f t="shared" si="7"/>
        <v>1.23</v>
      </c>
      <c r="G29" s="156">
        <f t="shared" si="7"/>
        <v>1.83</v>
      </c>
      <c r="H29" s="157">
        <f>Datenquelle!M32</f>
        <v>0.03</v>
      </c>
      <c r="I29" s="20"/>
      <c r="J29" s="20"/>
    </row>
    <row r="30" spans="2:10" ht="29.25" customHeight="1">
      <c r="B30" s="29" t="str">
        <f>"="</f>
        <v>=</v>
      </c>
      <c r="C30" s="29"/>
      <c r="D30" s="30">
        <f>ROUND(SUM(D$28:D$29),2)</f>
        <v>34.299999999999997</v>
      </c>
      <c r="E30" s="30">
        <f t="shared" ref="E30:G30" si="8">ROUND(SUM(E$28:E$29),2)</f>
        <v>38.31</v>
      </c>
      <c r="F30" s="30">
        <f t="shared" si="8"/>
        <v>40.96</v>
      </c>
      <c r="G30" s="30">
        <f t="shared" si="8"/>
        <v>61</v>
      </c>
      <c r="H30" s="159">
        <f>H28+H29</f>
        <v>1</v>
      </c>
      <c r="I30" s="21">
        <f>100%-Datenquelle!M35</f>
        <v>0.95</v>
      </c>
      <c r="J30" s="22"/>
    </row>
    <row r="31" spans="2:10" ht="29.25" customHeight="1">
      <c r="B31" s="25" t="str">
        <f>"+  Rabatt | "&amp;Vorgaben!C24*100&amp;"% aus Kundensicht (im Hundert)"</f>
        <v>+  Rabatt | 5% aus Kundensicht (im Hundert)</v>
      </c>
      <c r="C31" s="25"/>
      <c r="D31" s="26">
        <f>ROUND(($I$31*100)*D$30/($I$30*100),2)</f>
        <v>1.81</v>
      </c>
      <c r="E31" s="26">
        <f t="shared" ref="E31:G31" si="9">ROUND(($I$31*100)*E$30/($I$30*100),2)</f>
        <v>2.02</v>
      </c>
      <c r="F31" s="26">
        <f t="shared" si="9"/>
        <v>2.16</v>
      </c>
      <c r="G31" s="26">
        <f t="shared" si="9"/>
        <v>3.21</v>
      </c>
      <c r="H31" s="27"/>
      <c r="I31" s="28">
        <f>Datenquelle!M35</f>
        <v>0.05</v>
      </c>
      <c r="J31" s="10"/>
    </row>
    <row r="32" spans="2:10" ht="29.25" customHeight="1">
      <c r="B32" s="35" t="str">
        <f>"= Angebotspreis (netto)"</f>
        <v>= Angebotspreis (netto)</v>
      </c>
      <c r="C32" s="35"/>
      <c r="D32" s="36">
        <f>ROUND(SUM(D$30:D$31),2)</f>
        <v>36.11</v>
      </c>
      <c r="E32" s="36">
        <f t="shared" ref="E32:G32" si="10">ROUND(SUM(E$30:E$31),2)</f>
        <v>40.33</v>
      </c>
      <c r="F32" s="36">
        <f t="shared" si="10"/>
        <v>43.12</v>
      </c>
      <c r="G32" s="36">
        <f t="shared" si="10"/>
        <v>64.209999999999994</v>
      </c>
      <c r="I32" s="4">
        <f>I30+I31</f>
        <v>1</v>
      </c>
    </row>
    <row r="33" spans="2:10" ht="29.25" customHeight="1">
      <c r="B33" s="1" t="str">
        <f>"+  Ust."</f>
        <v>+  Ust.</v>
      </c>
      <c r="D33" s="9">
        <f>ROUND(D$32*Datenquelle!$O$4,2)</f>
        <v>6.86</v>
      </c>
      <c r="E33" s="9">
        <f>ROUND(E$32*Datenquelle!$O$4,2)</f>
        <v>7.66</v>
      </c>
      <c r="F33" s="9">
        <f>ROUND(F$32*Datenquelle!$O$4,2)</f>
        <v>8.19</v>
      </c>
      <c r="G33" s="9">
        <f>ROUND(G$32*Datenquelle!$O$4,2)</f>
        <v>12.2</v>
      </c>
      <c r="H33" s="18"/>
      <c r="I33" s="10"/>
      <c r="J33" s="10"/>
    </row>
    <row r="34" spans="2:10" ht="29.25" customHeight="1" thickBot="1">
      <c r="B34" s="42" t="str">
        <f>"= Angebotspreis (brutto)"</f>
        <v>= Angebotspreis (brutto)</v>
      </c>
      <c r="C34" s="42"/>
      <c r="D34" s="43">
        <f>ROUND(SUM(D$32:D$33),2)</f>
        <v>42.97</v>
      </c>
      <c r="E34" s="43">
        <f t="shared" ref="E34:G34" si="11">ROUND(SUM(E$32:E$33),2)</f>
        <v>47.99</v>
      </c>
      <c r="F34" s="43">
        <f t="shared" si="11"/>
        <v>51.31</v>
      </c>
      <c r="G34" s="43">
        <f t="shared" si="11"/>
        <v>76.41</v>
      </c>
      <c r="H34" s="32"/>
      <c r="I34" s="33"/>
      <c r="J34" s="33"/>
    </row>
    <row r="35" spans="2:10" ht="29.25" customHeight="1" thickTop="1"/>
    <row r="37" spans="2:10" ht="29.25" customHeight="1">
      <c r="B37" s="23" t="s">
        <v>45</v>
      </c>
      <c r="D37" s="3" t="str">
        <f>D$3</f>
        <v>Tag</v>
      </c>
      <c r="E37" s="3" t="str">
        <f t="shared" ref="E37:G37" si="12">E$3</f>
        <v>Nacht (+15%)</v>
      </c>
      <c r="F37" s="3" t="str">
        <f t="shared" si="12"/>
        <v>Sonntag (+25%)</v>
      </c>
      <c r="G37" s="3" t="str">
        <f t="shared" si="12"/>
        <v>Feiertag (+100%)</v>
      </c>
    </row>
    <row r="38" spans="2:10" ht="29.25" customHeight="1">
      <c r="B38" s="161" t="s">
        <v>134</v>
      </c>
      <c r="C38" s="200">
        <f>D$32</f>
        <v>36.11</v>
      </c>
      <c r="D38" s="201"/>
      <c r="E38" s="162">
        <f>E$32</f>
        <v>40.33</v>
      </c>
      <c r="F38" s="162">
        <f t="shared" ref="F38:G38" si="13">F$32</f>
        <v>43.12</v>
      </c>
      <c r="G38" s="162">
        <f t="shared" si="13"/>
        <v>64.209999999999994</v>
      </c>
    </row>
    <row r="39" spans="2:10" ht="29.25" customHeight="1">
      <c r="B39" s="45" t="s">
        <v>43</v>
      </c>
      <c r="C39" s="54">
        <v>0.05</v>
      </c>
      <c r="D39" s="44">
        <f>IFERROR(ROUND(D$32-(D$32*$C$39),2),"")</f>
        <v>34.299999999999997</v>
      </c>
      <c r="E39" s="44">
        <f t="shared" ref="E39:G39" si="14">IFERROR(ROUND(E$32-(E$32*$C$39),2),"")</f>
        <v>38.31</v>
      </c>
      <c r="F39" s="44">
        <f t="shared" si="14"/>
        <v>40.96</v>
      </c>
      <c r="G39" s="44">
        <f t="shared" si="14"/>
        <v>61</v>
      </c>
      <c r="H39" s="163" t="str">
        <f>IF(OR(D39&lt;$D$24,E39&lt;$D$24,F39&lt;$D$24,G39&lt;$D$24),"PUG ALARM",IF(OR(D39&lt;$D$26,E39&lt;$D$26,F39&lt;$D$26,G39&lt;$D$26),"PUG ALARM",""))</f>
        <v/>
      </c>
    </row>
    <row r="40" spans="2:10" ht="29.25" customHeight="1">
      <c r="B40" s="46" t="s">
        <v>44</v>
      </c>
      <c r="C40" s="55">
        <v>0.03</v>
      </c>
      <c r="D40" s="164">
        <f>IFERROR(ROUND(D$39-(D$39*$C$40),2),"")</f>
        <v>33.270000000000003</v>
      </c>
      <c r="E40" s="164">
        <f t="shared" ref="E40:G40" si="15">IFERROR(ROUND(E$39-(E$39*$C$40),2),"")</f>
        <v>37.159999999999997</v>
      </c>
      <c r="F40" s="164">
        <f t="shared" si="15"/>
        <v>39.729999999999997</v>
      </c>
      <c r="G40" s="164">
        <f t="shared" si="15"/>
        <v>59.17</v>
      </c>
      <c r="H40" s="163" t="str">
        <f>IF(OR(D40&lt;$D$24,E40&lt;$D$24,F40&lt;$D$24,G40&lt;$D$24),"PUG ALARM",IF(OR(D40&lt;$D$26,E40&lt;$D$26,F40&lt;$D$26,G40&lt;$D$26),"PUG ALARM",""))</f>
        <v/>
      </c>
    </row>
    <row r="41" spans="2:10" ht="29.25" customHeight="1">
      <c r="B41" s="144" t="str">
        <f>"+ Ust."</f>
        <v>+ Ust.</v>
      </c>
      <c r="C41" s="165">
        <f>Datenquelle!M4</f>
        <v>0.19</v>
      </c>
      <c r="D41" s="166">
        <f>IFERROR(ROUND(D$40*Datenquelle!$O$4,2),"")</f>
        <v>6.32</v>
      </c>
      <c r="E41" s="166">
        <f>IFERROR(ROUND(E$40*Datenquelle!$O$4,2),"")</f>
        <v>7.06</v>
      </c>
      <c r="F41" s="166">
        <f>IFERROR(ROUND(F$40*Datenquelle!$O$4,2),"")</f>
        <v>7.55</v>
      </c>
      <c r="G41" s="166">
        <f>IFERROR(ROUND(G$40*Datenquelle!$O$4,2),"")</f>
        <v>11.24</v>
      </c>
    </row>
    <row r="42" spans="2:10" ht="29.25" customHeight="1">
      <c r="B42" s="167" t="str">
        <f>"= Skontierter Preis (brutto)"</f>
        <v>= Skontierter Preis (brutto)</v>
      </c>
      <c r="C42" s="168"/>
      <c r="D42" s="169">
        <f>IFERROR(ROUND(SUM(D$40:D$41),2),2)</f>
        <v>39.590000000000003</v>
      </c>
      <c r="E42" s="169">
        <f t="shared" ref="E42:G42" si="16">IFERROR(ROUND(SUM(E$40:E$41),2),2)</f>
        <v>44.22</v>
      </c>
      <c r="F42" s="169">
        <f t="shared" si="16"/>
        <v>47.28</v>
      </c>
      <c r="G42" s="169">
        <f t="shared" si="16"/>
        <v>70.41</v>
      </c>
    </row>
    <row r="43" spans="2:10" ht="12" customHeight="1"/>
    <row r="44" spans="2:10" ht="29.25" customHeight="1">
      <c r="B44" s="190" t="s">
        <v>126</v>
      </c>
      <c r="C44" s="191"/>
      <c r="D44" s="142">
        <f>D$40-D$24</f>
        <v>6.4100000000000037</v>
      </c>
      <c r="E44" s="142">
        <f t="shared" ref="E44:G44" si="17">E$40-E$24</f>
        <v>7.1699999999999982</v>
      </c>
      <c r="F44" s="142">
        <f t="shared" si="17"/>
        <v>7.6599999999999966</v>
      </c>
      <c r="G44" s="142">
        <f t="shared" si="17"/>
        <v>11.420000000000002</v>
      </c>
      <c r="H44" s="8" t="s">
        <v>127</v>
      </c>
    </row>
    <row r="45" spans="2:10" ht="29.25" customHeight="1">
      <c r="B45" s="192" t="s">
        <v>4</v>
      </c>
      <c r="C45" s="193"/>
      <c r="D45" s="143">
        <f>D$40-D$26</f>
        <v>1.5800000000000018</v>
      </c>
      <c r="E45" s="143">
        <f t="shared" ref="E45:G45" si="18">E$40-E$26</f>
        <v>1.769999999999996</v>
      </c>
      <c r="F45" s="143">
        <f t="shared" si="18"/>
        <v>1.8899999999999935</v>
      </c>
      <c r="G45" s="143">
        <f t="shared" si="18"/>
        <v>2.8200000000000003</v>
      </c>
      <c r="H45" s="8" t="s">
        <v>128</v>
      </c>
    </row>
    <row r="47" spans="2:10" ht="29.25" customHeight="1">
      <c r="B47" s="23" t="s">
        <v>118</v>
      </c>
      <c r="D47" s="3"/>
      <c r="E47" s="2"/>
      <c r="F47" s="2"/>
      <c r="G47" s="2"/>
    </row>
    <row r="48" spans="2:10" ht="29.25" customHeight="1">
      <c r="B48" s="170" t="s">
        <v>134</v>
      </c>
      <c r="C48" s="202">
        <v>34.58</v>
      </c>
      <c r="D48" s="203"/>
      <c r="E48" s="171">
        <f>ROUND($C$48+(E$38-$C$38),2)</f>
        <v>38.799999999999997</v>
      </c>
      <c r="F48" s="171">
        <f t="shared" ref="F48:G48" si="19">ROUND($C$48+(F$38-$C$38),2)</f>
        <v>41.59</v>
      </c>
      <c r="G48" s="171">
        <f t="shared" si="19"/>
        <v>62.68</v>
      </c>
      <c r="H48" s="163" t="str">
        <f>IF(OR(C48&lt;$D$24,E48&lt;$E$24,F48&lt;$F$24,G48&lt;$G$24),"PUG ALARM",IF(OR(C48&lt;$D$26,E48&lt;$E$26,F48&lt;$F$26,G48&lt;$G$26),"PUG ALARM",""))</f>
        <v/>
      </c>
    </row>
    <row r="49" spans="2:8" ht="29.25" customHeight="1">
      <c r="B49" s="45" t="s">
        <v>43</v>
      </c>
      <c r="C49" s="54">
        <v>0.05</v>
      </c>
      <c r="D49" s="44">
        <f>IFERROR(ROUND(C$48-(C$48*$C$49),2),"")</f>
        <v>32.85</v>
      </c>
      <c r="E49" s="172">
        <f>IFERROR(ROUND(E$48-(E$48*$C$49),2),"")</f>
        <v>36.86</v>
      </c>
      <c r="F49" s="172">
        <f t="shared" ref="F49:G49" si="20">IFERROR(ROUND(F$48-(F$48*$C$49),2),"")</f>
        <v>39.51</v>
      </c>
      <c r="G49" s="172">
        <f t="shared" si="20"/>
        <v>59.55</v>
      </c>
      <c r="H49" s="163" t="str">
        <f>IF(OR(D49&lt;$D$24,E49&lt;$E$24,F49&lt;$F$24,G49&lt;$G$24),"PUG ALARM",IF(OR(D49&lt;$D$26,E49&lt;$E$26,F49&lt;$F$26,G49&lt;$G$26),"PUG ALARM",""))</f>
        <v/>
      </c>
    </row>
    <row r="50" spans="2:8" ht="29.25" customHeight="1">
      <c r="B50" s="46" t="s">
        <v>44</v>
      </c>
      <c r="C50" s="55">
        <v>0.03</v>
      </c>
      <c r="D50" s="164">
        <f>IFERROR(ROUND(D$49-(D$49*$C$50),2),"")</f>
        <v>31.86</v>
      </c>
      <c r="E50" s="164">
        <f t="shared" ref="E50:G50" si="21">IFERROR(ROUND(E$49-(E$49*$C$50),2),"")</f>
        <v>35.75</v>
      </c>
      <c r="F50" s="164">
        <f t="shared" si="21"/>
        <v>38.32</v>
      </c>
      <c r="G50" s="164">
        <f t="shared" si="21"/>
        <v>57.76</v>
      </c>
      <c r="H50" s="163" t="str">
        <f>IF(OR(D50&lt;$D$24,E50&lt;$E$24,F50&lt;$F$24,G50&lt;$G$24),"PUG ALARM",IF(OR(D50&lt;$D$26,E50&lt;$E$26,F50&lt;$F$26,G50&lt;$G$26),"PUG ALARM",""))</f>
        <v/>
      </c>
    </row>
    <row r="51" spans="2:8" ht="29.25" customHeight="1">
      <c r="B51" s="144" t="str">
        <f>"+ Ust."</f>
        <v>+ Ust.</v>
      </c>
      <c r="C51" s="165">
        <f>Datenquelle!M4</f>
        <v>0.19</v>
      </c>
      <c r="D51" s="166">
        <f>IFERROR(ROUND(D$50*Datenquelle!$M$4,2),"")</f>
        <v>6.05</v>
      </c>
      <c r="E51" s="166">
        <f>IFERROR(ROUND(E$50*Datenquelle!$M$4,2),"")</f>
        <v>6.79</v>
      </c>
      <c r="F51" s="166">
        <f>IFERROR(ROUND(F$50*Datenquelle!$M$4,2),"")</f>
        <v>7.28</v>
      </c>
      <c r="G51" s="166">
        <f>IFERROR(ROUND(G$50*Datenquelle!$M$4,2),"")</f>
        <v>10.97</v>
      </c>
    </row>
    <row r="52" spans="2:8" ht="29.25" customHeight="1">
      <c r="B52" s="167" t="str">
        <f>"= Skontierter Preis (brutto)"</f>
        <v>= Skontierter Preis (brutto)</v>
      </c>
      <c r="C52" s="168"/>
      <c r="D52" s="169">
        <f>IFERROR(ROUND(SUM(D$50:D$51),2),2)</f>
        <v>37.909999999999997</v>
      </c>
      <c r="E52" s="169">
        <f t="shared" ref="E52:G52" si="22">IFERROR(ROUND(SUM(E$50:E$51),2),2)</f>
        <v>42.54</v>
      </c>
      <c r="F52" s="169">
        <f t="shared" si="22"/>
        <v>45.6</v>
      </c>
      <c r="G52" s="169">
        <f t="shared" si="22"/>
        <v>68.73</v>
      </c>
    </row>
    <row r="53" spans="2:8" ht="12" customHeight="1"/>
    <row r="54" spans="2:8" ht="29.25" customHeight="1">
      <c r="B54" s="190" t="s">
        <v>126</v>
      </c>
      <c r="C54" s="191"/>
      <c r="D54" s="142">
        <f>D$50-D$24</f>
        <v>5</v>
      </c>
      <c r="E54" s="142">
        <f t="shared" ref="E54:G54" si="23">E$50-E$24</f>
        <v>5.7600000000000016</v>
      </c>
      <c r="F54" s="142">
        <f t="shared" si="23"/>
        <v>6.25</v>
      </c>
      <c r="G54" s="142">
        <f t="shared" si="23"/>
        <v>10.009999999999998</v>
      </c>
      <c r="H54" s="8" t="s">
        <v>127</v>
      </c>
    </row>
    <row r="55" spans="2:8" ht="29.25" customHeight="1">
      <c r="B55" s="192" t="s">
        <v>4</v>
      </c>
      <c r="C55" s="193"/>
      <c r="D55" s="143">
        <f>D$50-D$26</f>
        <v>0.16999999999999815</v>
      </c>
      <c r="E55" s="143">
        <f t="shared" ref="E55:G55" si="24">E$50-E$26</f>
        <v>0.35999999999999943</v>
      </c>
      <c r="F55" s="143">
        <f t="shared" si="24"/>
        <v>0.47999999999999687</v>
      </c>
      <c r="G55" s="143">
        <f t="shared" si="24"/>
        <v>1.4099999999999966</v>
      </c>
      <c r="H55" s="8" t="s">
        <v>128</v>
      </c>
    </row>
  </sheetData>
  <sheetProtection algorithmName="SHA-512" hashValue="3NlUD7BOpb41IAHPcjiVp+Usj01LyReRtMemB8yWhtfKvX1gS/A8fnIq9adeHyXeVWNXW5RPi7a/dLDgC6GiZw==" saltValue="zBu4cHBZFYclnjtF482NUg==" spinCount="100000" sheet="1" objects="1" scenarios="1" selectLockedCells="1"/>
  <mergeCells count="11">
    <mergeCell ref="B54:C54"/>
    <mergeCell ref="B55:C55"/>
    <mergeCell ref="H3:J3"/>
    <mergeCell ref="H17:J17"/>
    <mergeCell ref="H21:J21"/>
    <mergeCell ref="I24:J24"/>
    <mergeCell ref="I26:J26"/>
    <mergeCell ref="C38:D38"/>
    <mergeCell ref="B44:C44"/>
    <mergeCell ref="B45:C45"/>
    <mergeCell ref="C48:D48"/>
  </mergeCells>
  <conditionalFormatting sqref="C48 D49:D50 E50:G50">
    <cfRule type="cellIs" dxfId="9" priority="11" operator="lessThan">
      <formula>$D$24</formula>
    </cfRule>
    <cfRule type="cellIs" dxfId="8" priority="12" operator="lessThan">
      <formula>$D$26</formula>
    </cfRule>
  </conditionalFormatting>
  <conditionalFormatting sqref="D39:G40">
    <cfRule type="cellIs" dxfId="7" priority="5" operator="lessThan">
      <formula>$D$24</formula>
    </cfRule>
    <cfRule type="cellIs" dxfId="6" priority="6" operator="lessThan">
      <formula>$D$26</formula>
    </cfRule>
  </conditionalFormatting>
  <conditionalFormatting sqref="D44:G45">
    <cfRule type="cellIs" dxfId="5" priority="3" operator="greaterThan">
      <formula>0</formula>
    </cfRule>
    <cfRule type="cellIs" dxfId="4" priority="4" operator="lessThan">
      <formula>0</formula>
    </cfRule>
  </conditionalFormatting>
  <conditionalFormatting sqref="D54:G55">
    <cfRule type="cellIs" dxfId="3" priority="9" operator="greaterThan">
      <formula>0</formula>
    </cfRule>
    <cfRule type="cellIs" dxfId="2" priority="10" operator="lessThan">
      <formula>0</formula>
    </cfRule>
  </conditionalFormatting>
  <conditionalFormatting sqref="E48:G49">
    <cfRule type="cellIs" dxfId="1" priority="7" operator="lessThan">
      <formula>$E$24</formula>
    </cfRule>
    <cfRule type="cellIs" dxfId="0" priority="8" operator="lessThan">
      <formula>$E$26</formula>
    </cfRule>
  </conditionalFormatting>
  <pageMargins left="0.7" right="0.7" top="0.78740157499999996" bottom="0.78740157499999996" header="0.3" footer="0.3"/>
  <pageSetup paperSize="9" scale="51" orientation="portrait" r:id="rId1"/>
  <ignoredErrors>
    <ignoredError sqref="D21:G21 E9:G9 B15 B17 D17:G17" formula="1"/>
  </ignoredErrors>
  <legacyDrawing r:id="rId2"/>
  <extLst>
    <ext xmlns:x14="http://schemas.microsoft.com/office/spreadsheetml/2009/9/main" uri="{78C0D931-6437-407d-A8EE-F0AAD7539E65}">
      <x14:conditionalFormattings>
        <x14:conditionalFormatting xmlns:xm="http://schemas.microsoft.com/office/excel/2006/main">
          <x14:cfRule type="cellIs" priority="2" operator="greaterThan" id="{4BA4D064-689B-4EF1-8994-30784D4122E8}">
            <xm:f>Vorgaben!$C$24</xm:f>
            <x14:dxf>
              <font>
                <b/>
                <i val="0"/>
                <color rgb="FFFF0000"/>
              </font>
            </x14:dxf>
          </x14:cfRule>
          <xm:sqref>C39 C49</xm:sqref>
        </x14:conditionalFormatting>
        <x14:conditionalFormatting xmlns:xm="http://schemas.microsoft.com/office/excel/2006/main">
          <x14:cfRule type="cellIs" priority="1" operator="greaterThan" id="{3DFA75E8-1D03-431B-82D8-E039BF13965F}">
            <xm:f>Vorgaben!$C$23</xm:f>
            <x14:dxf>
              <font>
                <b/>
                <i val="0"/>
                <color rgb="FFFF0000"/>
              </font>
            </x14:dxf>
          </x14:cfRule>
          <xm:sqref>C40 C50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D66F5-E25F-4C82-96AB-8A57D4DD4BE3}">
  <dimension ref="B1:V40"/>
  <sheetViews>
    <sheetView workbookViewId="0">
      <selection activeCell="B4" sqref="B4"/>
    </sheetView>
  </sheetViews>
  <sheetFormatPr baseColWidth="10" defaultRowHeight="22.5" customHeight="1"/>
  <cols>
    <col min="1" max="1" width="6.625" customWidth="1"/>
    <col min="2" max="2" width="31.875" bestFit="1" customWidth="1"/>
    <col min="3" max="3" width="12.875" bestFit="1" customWidth="1"/>
    <col min="7" max="7" width="16" customWidth="1"/>
    <col min="8" max="8" width="5.375" customWidth="1"/>
    <col min="14" max="14" width="13.375" customWidth="1"/>
    <col min="15" max="15" width="5.375" customWidth="1"/>
    <col min="18" max="18" width="5.75" customWidth="1"/>
    <col min="19" max="19" width="3.75" customWidth="1"/>
    <col min="22" max="22" width="11.375" bestFit="1" customWidth="1"/>
  </cols>
  <sheetData>
    <row r="1" spans="2:22" ht="30">
      <c r="B1" s="13" t="s">
        <v>124</v>
      </c>
    </row>
    <row r="3" spans="2:22" ht="22.5" customHeight="1">
      <c r="B3" s="134" t="s">
        <v>6</v>
      </c>
      <c r="C3" s="204" t="s">
        <v>119</v>
      </c>
      <c r="D3" s="205"/>
      <c r="F3" s="48" t="s">
        <v>60</v>
      </c>
      <c r="G3" s="48"/>
      <c r="H3" s="49"/>
      <c r="I3" s="49"/>
      <c r="J3" s="49"/>
      <c r="M3" s="48" t="s">
        <v>18</v>
      </c>
      <c r="N3" s="48"/>
      <c r="O3" s="6"/>
      <c r="P3" s="6"/>
    </row>
    <row r="4" spans="2:22" ht="22.5" customHeight="1">
      <c r="B4" s="132" t="s">
        <v>80</v>
      </c>
      <c r="C4" s="53">
        <v>15</v>
      </c>
      <c r="D4" s="5" t="s">
        <v>7</v>
      </c>
      <c r="F4" s="102" t="s">
        <v>23</v>
      </c>
      <c r="G4" s="103" t="s">
        <v>10</v>
      </c>
      <c r="H4" s="104">
        <f>F5</f>
        <v>1</v>
      </c>
      <c r="I4" s="5" t="s">
        <v>8</v>
      </c>
      <c r="M4" s="99">
        <f>Vorgaben!C52</f>
        <v>0.19</v>
      </c>
      <c r="N4" s="103" t="s">
        <v>10</v>
      </c>
      <c r="O4" s="5">
        <f>M4</f>
        <v>0.19</v>
      </c>
      <c r="P4" s="105" t="s">
        <v>19</v>
      </c>
    </row>
    <row r="5" spans="2:22" ht="22.5" customHeight="1">
      <c r="B5" s="132" t="s">
        <v>81</v>
      </c>
      <c r="C5" s="53">
        <v>16</v>
      </c>
      <c r="D5" s="5" t="s">
        <v>7</v>
      </c>
      <c r="F5" s="50">
        <f>Vorgaben!C11</f>
        <v>1</v>
      </c>
      <c r="G5" s="106" t="s">
        <v>14</v>
      </c>
      <c r="H5" s="107">
        <f>1+H4</f>
        <v>2</v>
      </c>
      <c r="I5" s="108" t="s">
        <v>110</v>
      </c>
      <c r="J5" s="109"/>
      <c r="N5" s="103" t="s">
        <v>14</v>
      </c>
      <c r="O5" s="5">
        <f>1+O4</f>
        <v>1.19</v>
      </c>
      <c r="P5" s="105" t="s">
        <v>20</v>
      </c>
    </row>
    <row r="6" spans="2:22" ht="22.5" customHeight="1">
      <c r="B6" s="132" t="s">
        <v>82</v>
      </c>
      <c r="C6" s="53">
        <v>17</v>
      </c>
      <c r="D6" s="5" t="s">
        <v>7</v>
      </c>
      <c r="F6" s="110" t="s">
        <v>61</v>
      </c>
      <c r="G6" s="103" t="s">
        <v>10</v>
      </c>
      <c r="H6" s="104">
        <f>F7</f>
        <v>0.25</v>
      </c>
      <c r="I6" s="5" t="s">
        <v>8</v>
      </c>
      <c r="L6" s="111"/>
    </row>
    <row r="7" spans="2:22" ht="22.5" customHeight="1">
      <c r="B7" s="132" t="s">
        <v>89</v>
      </c>
      <c r="C7" s="53">
        <v>18</v>
      </c>
      <c r="D7" s="5" t="s">
        <v>7</v>
      </c>
      <c r="F7" s="50">
        <f>Vorgaben!C10</f>
        <v>0.25</v>
      </c>
      <c r="G7" s="106" t="s">
        <v>14</v>
      </c>
      <c r="H7" s="107">
        <f>1+H6</f>
        <v>1.25</v>
      </c>
      <c r="I7" s="108" t="s">
        <v>110</v>
      </c>
      <c r="J7" s="109"/>
      <c r="M7" s="48" t="s">
        <v>25</v>
      </c>
      <c r="N7" s="48"/>
      <c r="O7" s="6"/>
      <c r="P7" s="6"/>
      <c r="R7" s="112"/>
      <c r="S7" s="5"/>
      <c r="T7" s="5"/>
      <c r="U7" s="5"/>
    </row>
    <row r="8" spans="2:22" ht="22.5" customHeight="1">
      <c r="B8" s="132" t="s">
        <v>90</v>
      </c>
      <c r="C8" s="53">
        <v>19</v>
      </c>
      <c r="D8" s="5" t="s">
        <v>7</v>
      </c>
      <c r="F8" s="110" t="s">
        <v>62</v>
      </c>
      <c r="G8" s="103" t="s">
        <v>10</v>
      </c>
      <c r="H8" s="104">
        <f>F9</f>
        <v>0.15</v>
      </c>
      <c r="I8" s="5" t="s">
        <v>8</v>
      </c>
      <c r="M8" s="51">
        <v>365</v>
      </c>
      <c r="N8" s="105" t="s">
        <v>26</v>
      </c>
      <c r="O8" s="5"/>
      <c r="P8" s="105"/>
      <c r="R8" s="5"/>
      <c r="S8" s="5"/>
      <c r="T8" s="5"/>
      <c r="U8" s="70"/>
    </row>
    <row r="9" spans="2:22" ht="22.5" customHeight="1">
      <c r="B9" s="132" t="s">
        <v>91</v>
      </c>
      <c r="C9" s="53">
        <v>20</v>
      </c>
      <c r="D9" s="5" t="s">
        <v>7</v>
      </c>
      <c r="F9" s="81">
        <f>Vorgaben!C9</f>
        <v>0.15</v>
      </c>
      <c r="G9" s="106" t="s">
        <v>14</v>
      </c>
      <c r="H9" s="107">
        <f>1+H8</f>
        <v>1.1499999999999999</v>
      </c>
      <c r="I9" s="108" t="s">
        <v>110</v>
      </c>
      <c r="J9" s="109"/>
      <c r="M9" s="51">
        <v>52</v>
      </c>
      <c r="N9" s="105" t="s">
        <v>27</v>
      </c>
      <c r="R9" s="5"/>
      <c r="S9" s="5"/>
      <c r="T9" s="5"/>
      <c r="U9" s="70"/>
    </row>
    <row r="10" spans="2:22" ht="22.5" customHeight="1">
      <c r="B10" s="132" t="s">
        <v>92</v>
      </c>
      <c r="C10" s="53">
        <v>21</v>
      </c>
      <c r="D10" s="5" t="s">
        <v>7</v>
      </c>
      <c r="M10" s="51">
        <v>12</v>
      </c>
      <c r="N10" s="105" t="s">
        <v>28</v>
      </c>
      <c r="R10" s="5"/>
      <c r="S10" s="5"/>
      <c r="T10" s="5"/>
      <c r="U10" s="70"/>
    </row>
    <row r="11" spans="2:22" ht="22.5" customHeight="1">
      <c r="B11" s="132" t="s">
        <v>93</v>
      </c>
      <c r="C11" s="53">
        <v>22</v>
      </c>
      <c r="D11" s="5" t="s">
        <v>7</v>
      </c>
      <c r="F11" s="48" t="s">
        <v>22</v>
      </c>
      <c r="G11" s="48"/>
      <c r="H11" s="6"/>
      <c r="I11" s="6"/>
      <c r="J11" s="6"/>
      <c r="M11" s="51">
        <f>Vorgaben!C46</f>
        <v>12</v>
      </c>
      <c r="N11" s="105" t="s">
        <v>108</v>
      </c>
      <c r="R11" s="5"/>
      <c r="S11" s="5"/>
      <c r="T11" s="5"/>
      <c r="U11" s="70"/>
      <c r="V11" s="11"/>
    </row>
    <row r="12" spans="2:22" ht="22.5" customHeight="1">
      <c r="B12" s="133" t="s">
        <v>83</v>
      </c>
      <c r="C12" s="53">
        <v>23</v>
      </c>
      <c r="D12" s="5" t="s">
        <v>7</v>
      </c>
      <c r="F12" s="50">
        <f>Vorgaben!C12</f>
        <v>0.23</v>
      </c>
      <c r="G12" s="103" t="s">
        <v>10</v>
      </c>
      <c r="H12" s="5">
        <f>F12</f>
        <v>0.23</v>
      </c>
      <c r="I12" s="105" t="s">
        <v>8</v>
      </c>
      <c r="M12" s="51">
        <f>M8-M9-M9-M11</f>
        <v>249</v>
      </c>
      <c r="N12" s="105" t="s">
        <v>29</v>
      </c>
      <c r="R12" s="5"/>
      <c r="S12" s="5"/>
      <c r="T12" s="5"/>
      <c r="U12" s="70"/>
      <c r="V12" s="11"/>
    </row>
    <row r="13" spans="2:22" ht="22.5" customHeight="1">
      <c r="B13" s="133" t="s">
        <v>84</v>
      </c>
      <c r="C13" s="53">
        <v>24</v>
      </c>
      <c r="D13" s="5" t="s">
        <v>7</v>
      </c>
      <c r="G13" s="103" t="s">
        <v>14</v>
      </c>
      <c r="H13" s="5">
        <f>1+H12</f>
        <v>1.23</v>
      </c>
      <c r="I13" s="105" t="s">
        <v>9</v>
      </c>
      <c r="M13" s="51">
        <f>M8-M9-M11</f>
        <v>301</v>
      </c>
      <c r="N13" s="105" t="s">
        <v>30</v>
      </c>
      <c r="V13" s="11"/>
    </row>
    <row r="14" spans="2:22" ht="22.5" customHeight="1">
      <c r="B14" s="133" t="s">
        <v>85</v>
      </c>
      <c r="C14" s="53">
        <v>25</v>
      </c>
      <c r="D14" s="5" t="s">
        <v>7</v>
      </c>
      <c r="M14" s="51">
        <f>M22/(M17*M18)</f>
        <v>44.4</v>
      </c>
      <c r="N14" s="105" t="s">
        <v>38</v>
      </c>
      <c r="V14" s="11"/>
    </row>
    <row r="15" spans="2:22" ht="22.5" customHeight="1">
      <c r="B15" s="133" t="s">
        <v>86</v>
      </c>
      <c r="C15" s="53">
        <v>26</v>
      </c>
      <c r="D15" s="5" t="s">
        <v>7</v>
      </c>
      <c r="F15" s="48" t="s">
        <v>21</v>
      </c>
      <c r="G15" s="48"/>
      <c r="H15" s="6"/>
      <c r="I15" s="6"/>
      <c r="J15" s="6"/>
      <c r="U15" s="69"/>
    </row>
    <row r="16" spans="2:22" ht="22.5" customHeight="1">
      <c r="B16" s="133" t="s">
        <v>87</v>
      </c>
      <c r="C16" s="53">
        <v>27</v>
      </c>
      <c r="D16" s="5" t="s">
        <v>7</v>
      </c>
      <c r="F16" s="50">
        <f>Vorgaben!C13</f>
        <v>4.4999999999999998E-2</v>
      </c>
      <c r="G16" s="103" t="s">
        <v>10</v>
      </c>
      <c r="H16" s="5">
        <f>F16</f>
        <v>4.4999999999999998E-2</v>
      </c>
      <c r="I16" s="105" t="s">
        <v>8</v>
      </c>
      <c r="M16" s="48" t="s">
        <v>32</v>
      </c>
      <c r="N16" s="48"/>
      <c r="O16" s="6"/>
      <c r="P16" s="6"/>
      <c r="Q16" s="6"/>
    </row>
    <row r="17" spans="2:17" ht="22.5" customHeight="1">
      <c r="B17" s="133" t="s">
        <v>88</v>
      </c>
      <c r="C17" s="53">
        <v>28</v>
      </c>
      <c r="D17" s="5" t="s">
        <v>7</v>
      </c>
      <c r="G17" s="103" t="s">
        <v>14</v>
      </c>
      <c r="H17" s="5">
        <f>1+H16</f>
        <v>1.0449999999999999</v>
      </c>
      <c r="I17" s="105" t="s">
        <v>9</v>
      </c>
      <c r="M17" s="51">
        <f>Vorgaben!C27</f>
        <v>8</v>
      </c>
      <c r="N17" s="105" t="s">
        <v>55</v>
      </c>
    </row>
    <row r="18" spans="2:17" ht="22.5" customHeight="1">
      <c r="B18" s="133"/>
      <c r="C18" s="53"/>
      <c r="D18" s="5" t="s">
        <v>7</v>
      </c>
      <c r="M18" s="51">
        <f>Vorgaben!C28</f>
        <v>5</v>
      </c>
      <c r="N18" s="105" t="s">
        <v>56</v>
      </c>
    </row>
    <row r="19" spans="2:17" ht="22.5" customHeight="1">
      <c r="B19" s="133"/>
      <c r="C19" s="53"/>
      <c r="D19" s="5" t="s">
        <v>7</v>
      </c>
      <c r="F19" s="114" t="s">
        <v>48</v>
      </c>
      <c r="M19" s="51">
        <f>M17*M18</f>
        <v>40</v>
      </c>
      <c r="N19" s="105" t="s">
        <v>33</v>
      </c>
    </row>
    <row r="20" spans="2:17" ht="22.5" customHeight="1">
      <c r="B20" s="133"/>
      <c r="C20" s="53"/>
      <c r="D20" s="5" t="s">
        <v>7</v>
      </c>
      <c r="F20" s="101">
        <f>Vorgaben!C15</f>
        <v>12.67</v>
      </c>
      <c r="G20" s="115" t="s">
        <v>49</v>
      </c>
      <c r="H20" s="116"/>
      <c r="I20" s="116"/>
      <c r="J20" s="116"/>
      <c r="M20" s="51">
        <f>M17*M18*M9</f>
        <v>2080</v>
      </c>
      <c r="N20" s="105" t="s">
        <v>51</v>
      </c>
    </row>
    <row r="21" spans="2:17" ht="22.5" customHeight="1">
      <c r="B21" s="133"/>
      <c r="C21" s="53"/>
      <c r="D21" s="5" t="s">
        <v>7</v>
      </c>
      <c r="F21" s="117">
        <f>F20*M10</f>
        <v>152.04</v>
      </c>
      <c r="G21" s="118" t="s">
        <v>50</v>
      </c>
      <c r="M21" s="52">
        <f>$M$20/$M$10</f>
        <v>173.33333333333334</v>
      </c>
      <c r="N21" s="105" t="s">
        <v>63</v>
      </c>
    </row>
    <row r="22" spans="2:17" ht="22.5" customHeight="1">
      <c r="B22" s="133"/>
      <c r="C22" s="53"/>
      <c r="D22" s="5" t="s">
        <v>7</v>
      </c>
      <c r="F22" s="119">
        <f>F21/M22</f>
        <v>8.5608108108108108E-2</v>
      </c>
      <c r="G22" s="118" t="s">
        <v>52</v>
      </c>
      <c r="M22" s="51">
        <f>M20-F34-F30-F36</f>
        <v>1776</v>
      </c>
      <c r="N22" s="105" t="s">
        <v>39</v>
      </c>
      <c r="Q22" s="120"/>
    </row>
    <row r="23" spans="2:17" ht="22.5" customHeight="1">
      <c r="B23" s="133"/>
      <c r="C23" s="53"/>
      <c r="D23" s="5" t="s">
        <v>7</v>
      </c>
      <c r="N23" s="113"/>
    </row>
    <row r="24" spans="2:17" ht="22.5" customHeight="1">
      <c r="B24" s="133"/>
      <c r="C24" s="53"/>
      <c r="D24" s="5" t="s">
        <v>7</v>
      </c>
      <c r="F24" s="48" t="s">
        <v>36</v>
      </c>
      <c r="G24" s="48"/>
      <c r="H24" s="6"/>
      <c r="I24" s="6"/>
      <c r="J24" s="6"/>
      <c r="M24" s="48" t="s">
        <v>11</v>
      </c>
      <c r="N24" s="48"/>
      <c r="O24" s="49"/>
      <c r="P24" s="49"/>
      <c r="Q24" s="49"/>
    </row>
    <row r="25" spans="2:17" ht="22.5" customHeight="1">
      <c r="B25" s="133"/>
      <c r="C25" s="53"/>
      <c r="D25" s="5" t="s">
        <v>7</v>
      </c>
      <c r="F25" s="50">
        <f>Vorgaben!C14</f>
        <v>0</v>
      </c>
      <c r="G25" s="103" t="s">
        <v>10</v>
      </c>
      <c r="H25" s="5">
        <f>F25</f>
        <v>0</v>
      </c>
      <c r="I25" s="105" t="s">
        <v>8</v>
      </c>
      <c r="M25" s="50">
        <f>Vorgaben!C21</f>
        <v>0.18</v>
      </c>
      <c r="N25" s="103" t="s">
        <v>10</v>
      </c>
      <c r="O25" s="5">
        <f>M25</f>
        <v>0.18</v>
      </c>
      <c r="P25" s="113" t="s">
        <v>13</v>
      </c>
    </row>
    <row r="26" spans="2:17" ht="22.5" customHeight="1">
      <c r="B26" s="133"/>
      <c r="C26" s="53"/>
      <c r="D26" s="5" t="s">
        <v>7</v>
      </c>
      <c r="G26" s="103" t="s">
        <v>14</v>
      </c>
      <c r="H26" s="5">
        <f>1+H25</f>
        <v>1</v>
      </c>
      <c r="I26" s="105" t="s">
        <v>9</v>
      </c>
      <c r="M26" s="5"/>
      <c r="N26" s="103" t="s">
        <v>14</v>
      </c>
      <c r="O26" s="5">
        <f>1+O25</f>
        <v>1.18</v>
      </c>
      <c r="P26" s="113" t="s">
        <v>111</v>
      </c>
    </row>
    <row r="27" spans="2:17" ht="22.5" customHeight="1">
      <c r="B27" s="133"/>
      <c r="C27" s="53"/>
      <c r="D27" s="5" t="s">
        <v>7</v>
      </c>
      <c r="G27" s="103"/>
      <c r="H27" s="5"/>
      <c r="I27" s="105"/>
      <c r="P27" s="5"/>
    </row>
    <row r="28" spans="2:17" ht="22.5" customHeight="1">
      <c r="B28" s="133"/>
      <c r="C28" s="53"/>
      <c r="D28" s="5" t="s">
        <v>7</v>
      </c>
      <c r="F28" s="48" t="s">
        <v>64</v>
      </c>
      <c r="G28" s="48"/>
      <c r="H28" s="6"/>
      <c r="I28" s="6"/>
      <c r="J28" s="6"/>
      <c r="M28" s="48" t="s">
        <v>12</v>
      </c>
      <c r="N28" s="48"/>
      <c r="O28" s="49"/>
      <c r="P28" s="48"/>
      <c r="Q28" s="49"/>
    </row>
    <row r="29" spans="2:17" ht="22.5" customHeight="1">
      <c r="B29" s="133"/>
      <c r="C29" s="53"/>
      <c r="D29" s="5" t="s">
        <v>7</v>
      </c>
      <c r="F29" s="51">
        <f>Vorgaben!C36</f>
        <v>2</v>
      </c>
      <c r="G29" s="105" t="s">
        <v>65</v>
      </c>
      <c r="H29" s="121"/>
      <c r="M29" s="50">
        <f>Vorgaben!C22</f>
        <v>0.05</v>
      </c>
      <c r="N29" s="103" t="s">
        <v>15</v>
      </c>
      <c r="O29" s="104">
        <f>M29</f>
        <v>0.05</v>
      </c>
      <c r="P29" s="5" t="s">
        <v>112</v>
      </c>
    </row>
    <row r="30" spans="2:17" ht="22.5" customHeight="1">
      <c r="B30" s="133"/>
      <c r="C30" s="53"/>
      <c r="D30" s="5" t="s">
        <v>7</v>
      </c>
      <c r="F30" s="120">
        <f>F29*M17</f>
        <v>16</v>
      </c>
      <c r="G30" s="105" t="s">
        <v>66</v>
      </c>
      <c r="H30" s="5"/>
      <c r="I30" s="105"/>
    </row>
    <row r="31" spans="2:17" ht="22.5" customHeight="1">
      <c r="B31" s="133"/>
      <c r="C31" s="53"/>
      <c r="D31" s="5" t="s">
        <v>7</v>
      </c>
      <c r="G31" s="103"/>
      <c r="H31" s="5"/>
      <c r="I31" s="105"/>
      <c r="M31" s="48" t="s">
        <v>17</v>
      </c>
      <c r="N31" s="48"/>
      <c r="O31" s="49"/>
      <c r="P31" s="6"/>
      <c r="Q31" s="6"/>
    </row>
    <row r="32" spans="2:17" ht="22.5" customHeight="1">
      <c r="B32" s="133"/>
      <c r="C32" s="53"/>
      <c r="D32" s="5" t="s">
        <v>7</v>
      </c>
      <c r="F32" s="48" t="s">
        <v>67</v>
      </c>
      <c r="G32" s="48"/>
      <c r="H32" s="6"/>
      <c r="I32" s="6"/>
      <c r="J32" s="6"/>
      <c r="M32" s="50">
        <f>Vorgaben!C23</f>
        <v>0.03</v>
      </c>
      <c r="N32" s="103" t="s">
        <v>15</v>
      </c>
      <c r="O32" s="104">
        <f>M32</f>
        <v>0.03</v>
      </c>
      <c r="P32" s="5" t="s">
        <v>113</v>
      </c>
    </row>
    <row r="33" spans="2:17" ht="22.5" customHeight="1">
      <c r="B33" s="133"/>
      <c r="C33" s="53"/>
      <c r="D33" s="5" t="s">
        <v>7</v>
      </c>
      <c r="F33" s="51">
        <f>Vorgaben!C32</f>
        <v>31</v>
      </c>
      <c r="G33" s="105" t="s">
        <v>57</v>
      </c>
      <c r="H33" s="121"/>
    </row>
    <row r="34" spans="2:17" ht="22.5" customHeight="1">
      <c r="B34" s="133"/>
      <c r="C34" s="53"/>
      <c r="D34" s="5" t="s">
        <v>7</v>
      </c>
      <c r="F34" s="58">
        <f>F33*M17</f>
        <v>248</v>
      </c>
      <c r="G34" s="122" t="s">
        <v>58</v>
      </c>
      <c r="H34" s="123"/>
      <c r="I34" s="109"/>
      <c r="J34" s="109"/>
      <c r="M34" s="48" t="s">
        <v>16</v>
      </c>
      <c r="N34" s="48"/>
      <c r="O34" s="49"/>
      <c r="P34" s="6"/>
      <c r="Q34" s="6"/>
    </row>
    <row r="35" spans="2:17" ht="22.5" customHeight="1">
      <c r="B35" s="133"/>
      <c r="C35" s="53"/>
      <c r="D35" s="5" t="s">
        <v>7</v>
      </c>
      <c r="F35" s="51">
        <f>Vorgaben!C34</f>
        <v>5</v>
      </c>
      <c r="G35" s="105" t="s">
        <v>59</v>
      </c>
      <c r="H35" s="121"/>
      <c r="M35" s="50">
        <f>Vorgaben!C24</f>
        <v>0.05</v>
      </c>
      <c r="N35" s="103" t="s">
        <v>15</v>
      </c>
      <c r="O35" s="104">
        <f>M35</f>
        <v>0.05</v>
      </c>
      <c r="P35" s="5" t="s">
        <v>114</v>
      </c>
    </row>
    <row r="36" spans="2:17" ht="22.5" customHeight="1">
      <c r="F36" s="58">
        <f>F35*M17</f>
        <v>40</v>
      </c>
      <c r="G36" s="122" t="s">
        <v>68</v>
      </c>
      <c r="H36" s="123"/>
      <c r="I36" s="109"/>
      <c r="J36" s="109"/>
    </row>
    <row r="37" spans="2:17" ht="22.5" customHeight="1">
      <c r="M37" s="48" t="s">
        <v>138</v>
      </c>
      <c r="N37" s="48"/>
      <c r="O37" s="49"/>
      <c r="P37" s="6"/>
      <c r="Q37" s="6"/>
    </row>
    <row r="38" spans="2:17" ht="22.5" customHeight="1">
      <c r="F38" s="48" t="s">
        <v>24</v>
      </c>
      <c r="G38" s="48"/>
      <c r="H38" s="6"/>
      <c r="I38" s="6"/>
      <c r="J38" s="6"/>
      <c r="M38" s="173">
        <v>102.26</v>
      </c>
      <c r="N38" s="103"/>
      <c r="O38" s="104"/>
      <c r="P38" s="5"/>
    </row>
    <row r="39" spans="2:17" ht="22.5" customHeight="1">
      <c r="F39" s="50">
        <f>Vorgaben!C20</f>
        <v>0.05</v>
      </c>
      <c r="G39" s="103" t="s">
        <v>10</v>
      </c>
      <c r="H39" s="5">
        <f>F39</f>
        <v>0.05</v>
      </c>
      <c r="I39" s="105" t="s">
        <v>8</v>
      </c>
    </row>
    <row r="40" spans="2:17" ht="22.5" customHeight="1">
      <c r="G40" s="103" t="s">
        <v>14</v>
      </c>
      <c r="H40" s="5">
        <f>1+H39</f>
        <v>1.05</v>
      </c>
      <c r="I40" s="105" t="s">
        <v>9</v>
      </c>
    </row>
  </sheetData>
  <sheetProtection algorithmName="SHA-512" hashValue="OAWVqx5rmmruwYb99idjjy5jZTDeqEzYm3aiU5C3C36UY1VSZKbAmqFrxHza8nDesEevsPsVzZvnqlpH5gmXcg==" saltValue="Zraf/dW8Ka5DCKkI6ng4pg==" spinCount="100000" sheet="1" objects="1" scenarios="1" selectLockedCells="1"/>
  <mergeCells count="1">
    <mergeCell ref="C3:D3"/>
  </mergeCells>
  <pageMargins left="0.7" right="0.7" top="0.78740157499999996" bottom="0.78740157499999996" header="0.3" footer="0.3"/>
  <pageSetup paperSize="9" orientation="portrait" horizontalDpi="0" verticalDpi="0" r:id="rId1"/>
  <ignoredErrors>
    <ignoredError sqref="H5:H9" formula="1"/>
    <ignoredError sqref="F33 F29 M17:M18 F5:F9" unlocked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Vorgaben</vt:lpstr>
      <vt:lpstr>Berechnung</vt:lpstr>
      <vt:lpstr>Datenquelle</vt:lpstr>
      <vt:lpstr>Berechnung!Druckbereich</vt:lpstr>
      <vt:lpstr>Datenquelle!Druckbereich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Ingo Vigneron</dc:creator>
  <cp:lastModifiedBy>Ingo Vigneron</cp:lastModifiedBy>
  <cp:lastPrinted>2026-08-08T23:06:38Z</cp:lastPrinted>
  <dcterms:created xsi:type="dcterms:W3CDTF">2025-05-27T06:44:16Z</dcterms:created>
  <dcterms:modified xsi:type="dcterms:W3CDTF">2026-08-18T17:15:20Z</dcterms:modified>
</cp:coreProperties>
</file>